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defaultThemeVersion="124226"/>
  <mc:AlternateContent xmlns:mc="http://schemas.openxmlformats.org/markup-compatibility/2006">
    <mc:Choice Requires="x15">
      <x15ac:absPath xmlns:x15ac="http://schemas.microsoft.com/office/spreadsheetml/2010/11/ac" url="Z:\ORÇAMENTOS 2025\ÁGUIA BRANCA\SEDE NOVA PREFEITURA\REV 1 - ATUALIZAÇÃO - FEVEREIRO 2025\(ATUALIZAÇÃO)-SEDE DA PREFEITURA\"/>
    </mc:Choice>
  </mc:AlternateContent>
  <xr:revisionPtr revIDLastSave="0" documentId="13_ncr:1_{D0F7BDBB-CDC0-442D-AF18-BACF485458C1}" xr6:coauthVersionLast="43" xr6:coauthVersionMax="43" xr10:uidLastSave="{00000000-0000-0000-0000-000000000000}"/>
  <bookViews>
    <workbookView xWindow="-120" yWindow="-120" windowWidth="21840" windowHeight="13140" tabRatio="882" xr2:uid="{00000000-000D-0000-FFFF-FFFF00000000}"/>
  </bookViews>
  <sheets>
    <sheet name="PLANILHA" sheetId="1" r:id="rId1"/>
    <sheet name="BDI" sheetId="17" r:id="rId2"/>
    <sheet name="MEMÓRIA DE CALCULO" sheetId="14" r:id="rId3"/>
    <sheet name="MEMÓRIA CÁLC. FONTE" sheetId="27" r:id="rId4"/>
    <sheet name="COMP-01" sheetId="18" r:id="rId5"/>
    <sheet name="COMP-02" sheetId="12" r:id="rId6"/>
    <sheet name="COMP-03" sheetId="13" r:id="rId7"/>
    <sheet name="COMP-04" sheetId="19" r:id="rId8"/>
    <sheet name="COMP-05" sheetId="20" r:id="rId9"/>
    <sheet name="COMP-06" sheetId="21" r:id="rId10"/>
    <sheet name="COMP-07" sheetId="22" r:id="rId11"/>
    <sheet name="COMP-08" sheetId="23" r:id="rId12"/>
    <sheet name="COMP-09" sheetId="24" r:id="rId13"/>
    <sheet name="COMP-10" sheetId="25" r:id="rId14"/>
    <sheet name="COMP-11" sheetId="26" r:id="rId15"/>
    <sheet name="CRONOGRAMA" sheetId="16" r:id="rId16"/>
  </sheets>
  <externalReferences>
    <externalReference r:id="rId17"/>
    <externalReference r:id="rId18"/>
  </externalReferences>
  <definedNames>
    <definedName name="_xlnm.Print_Area" localSheetId="6">'COMP-03'!$A$1:$I$34</definedName>
    <definedName name="_xlnm.Print_Area" localSheetId="15">CRONOGRAMA!$A$1:$AC$52</definedName>
    <definedName name="_xlnm.Print_Area" localSheetId="3">'MEMÓRIA CÁLC. FONTE'!$A$1:$T$232</definedName>
    <definedName name="_xlnm.Print_Area" localSheetId="2">'MEMÓRIA DE CALCULO'!$A$1:$H$237</definedName>
    <definedName name="_xlnm.Print_Area" localSheetId="0">PLANILHA!$A$1:$I$329</definedName>
    <definedName name="_xlnm.Print_Titles" localSheetId="0">PLANILHA!$9:$9</definedName>
  </definedNames>
  <calcPr calcId="191029" fullPrecision="0"/>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B46" i="16" l="1"/>
  <c r="D7" i="16" l="1"/>
  <c r="H40" i="1" l="1"/>
  <c r="K40" i="1" s="1"/>
  <c r="F40" i="1"/>
  <c r="I40" i="1" s="1"/>
  <c r="B230" i="27" l="1"/>
  <c r="B227" i="27"/>
  <c r="B224" i="27"/>
  <c r="B219" i="27"/>
  <c r="B217" i="27"/>
  <c r="B215" i="27"/>
  <c r="B213" i="27"/>
  <c r="B212" i="27"/>
  <c r="B210" i="27"/>
  <c r="B209" i="27"/>
  <c r="B207" i="27"/>
  <c r="B205" i="27"/>
  <c r="B202" i="27"/>
  <c r="B199" i="27"/>
  <c r="B197" i="27"/>
  <c r="B195" i="27"/>
  <c r="B193" i="27"/>
  <c r="B191" i="27"/>
  <c r="B189" i="27"/>
  <c r="B187" i="27"/>
  <c r="B186" i="27"/>
  <c r="B171" i="27"/>
  <c r="B169" i="27"/>
  <c r="B167" i="27"/>
  <c r="B165" i="27"/>
  <c r="B155" i="27"/>
  <c r="B152" i="27"/>
  <c r="B150" i="27"/>
  <c r="B148" i="27"/>
  <c r="B145" i="27"/>
  <c r="B143" i="27"/>
  <c r="B140" i="27"/>
  <c r="B138" i="27"/>
  <c r="B132" i="27"/>
  <c r="B130" i="27"/>
  <c r="B128" i="27"/>
  <c r="B126" i="27"/>
  <c r="B124" i="27"/>
  <c r="B122" i="27"/>
  <c r="B120" i="27"/>
  <c r="B118" i="27"/>
  <c r="B116" i="27"/>
  <c r="B111" i="27"/>
  <c r="B109" i="27"/>
  <c r="B107" i="27"/>
  <c r="B105" i="27"/>
  <c r="B103" i="27"/>
  <c r="B101" i="27"/>
  <c r="B99" i="27"/>
  <c r="B97" i="27"/>
  <c r="B95" i="27"/>
  <c r="B94" i="27" l="1"/>
  <c r="B92" i="27"/>
  <c r="B87" i="27"/>
  <c r="B82" i="27"/>
  <c r="B77" i="27"/>
  <c r="B73" i="27"/>
  <c r="B72" i="27"/>
  <c r="B67" i="27"/>
  <c r="B54" i="27"/>
  <c r="B32" i="27"/>
  <c r="B20" i="27"/>
  <c r="B19" i="27"/>
  <c r="B16" i="27"/>
  <c r="B15" i="27"/>
  <c r="B10" i="27"/>
  <c r="B8" i="27"/>
  <c r="B7" i="27"/>
  <c r="B6" i="27"/>
  <c r="T230" i="27"/>
  <c r="T227" i="27"/>
  <c r="R226" i="27"/>
  <c r="R225" i="27"/>
  <c r="R223" i="27"/>
  <c r="R222" i="27"/>
  <c r="R221" i="27"/>
  <c r="R220" i="27"/>
  <c r="T217" i="27"/>
  <c r="R216" i="27"/>
  <c r="T215" i="27" s="1"/>
  <c r="R214" i="27"/>
  <c r="T213" i="27" s="1"/>
  <c r="T210" i="27"/>
  <c r="R208" i="27"/>
  <c r="T207" i="27" s="1"/>
  <c r="R206" i="27"/>
  <c r="T205" i="27" s="1"/>
  <c r="T202" i="27"/>
  <c r="T199" i="27"/>
  <c r="R198" i="27"/>
  <c r="T197" i="27" s="1"/>
  <c r="R196" i="27"/>
  <c r="T195" i="27" s="1"/>
  <c r="T193" i="27"/>
  <c r="T191" i="27"/>
  <c r="R190" i="27"/>
  <c r="T189" i="27" s="1"/>
  <c r="T187" i="27"/>
  <c r="R185" i="27"/>
  <c r="R184" i="27"/>
  <c r="R183" i="27"/>
  <c r="R182" i="27"/>
  <c r="R181" i="27"/>
  <c r="R180" i="27"/>
  <c r="R179" i="27"/>
  <c r="R178" i="27"/>
  <c r="R177" i="27"/>
  <c r="R176" i="27"/>
  <c r="R175" i="27"/>
  <c r="R174" i="27"/>
  <c r="R173" i="27"/>
  <c r="R172" i="27"/>
  <c r="T169" i="27"/>
  <c r="T167" i="27"/>
  <c r="T165" i="27"/>
  <c r="R164" i="27"/>
  <c r="R163" i="27"/>
  <c r="R162" i="27"/>
  <c r="R161" i="27"/>
  <c r="R160" i="27"/>
  <c r="R159" i="27"/>
  <c r="R158" i="27"/>
  <c r="R157" i="27"/>
  <c r="R156" i="27"/>
  <c r="T152" i="27"/>
  <c r="D146" i="27"/>
  <c r="T145" i="27" s="1"/>
  <c r="D144" i="27"/>
  <c r="T143" i="27" s="1"/>
  <c r="R142" i="27"/>
  <c r="R141" i="27"/>
  <c r="R139" i="27"/>
  <c r="T138" i="27" s="1"/>
  <c r="R137" i="27"/>
  <c r="R136" i="27"/>
  <c r="R135" i="27"/>
  <c r="R134" i="27"/>
  <c r="R133" i="27"/>
  <c r="D131" i="27"/>
  <c r="T130" i="27" s="1"/>
  <c r="D129" i="27"/>
  <c r="T128" i="27" s="1"/>
  <c r="D127" i="27"/>
  <c r="T126" i="27" s="1"/>
  <c r="D125" i="27"/>
  <c r="T124" i="27" s="1"/>
  <c r="D123" i="27"/>
  <c r="T122" i="27" s="1"/>
  <c r="D121" i="27"/>
  <c r="T120" i="27" s="1"/>
  <c r="T118" i="27"/>
  <c r="T116" i="27"/>
  <c r="R115" i="27"/>
  <c r="R114" i="27"/>
  <c r="R113" i="27"/>
  <c r="R112" i="27"/>
  <c r="T109" i="27"/>
  <c r="T107" i="27"/>
  <c r="T105" i="27"/>
  <c r="T103" i="27"/>
  <c r="T101" i="27"/>
  <c r="T99" i="27"/>
  <c r="R93" i="27"/>
  <c r="T92" i="27" s="1"/>
  <c r="R88" i="27"/>
  <c r="T87" i="27" s="1"/>
  <c r="G86" i="27"/>
  <c r="O86" i="27" s="1"/>
  <c r="R86" i="27" s="1"/>
  <c r="G85" i="27"/>
  <c r="O85" i="27" s="1"/>
  <c r="R85" i="27" s="1"/>
  <c r="G84" i="27"/>
  <c r="O84" i="27" s="1"/>
  <c r="R84" i="27" s="1"/>
  <c r="O83" i="27"/>
  <c r="R83" i="27" s="1"/>
  <c r="R81" i="27"/>
  <c r="R80" i="27"/>
  <c r="R79" i="27"/>
  <c r="R78" i="27"/>
  <c r="R76" i="27"/>
  <c r="R75" i="27"/>
  <c r="R74" i="27"/>
  <c r="T73" i="27" s="1"/>
  <c r="R71" i="27"/>
  <c r="R70" i="27"/>
  <c r="R69" i="27"/>
  <c r="R68" i="27"/>
  <c r="R66" i="27"/>
  <c r="R65" i="27"/>
  <c r="R64" i="27"/>
  <c r="R63" i="27"/>
  <c r="R62" i="27"/>
  <c r="R61" i="27"/>
  <c r="R60" i="27"/>
  <c r="R59" i="27"/>
  <c r="R58" i="27"/>
  <c r="R57" i="27"/>
  <c r="R56" i="27"/>
  <c r="R55" i="27"/>
  <c r="R53" i="27"/>
  <c r="R52" i="27"/>
  <c r="R51" i="27"/>
  <c r="R50" i="27"/>
  <c r="R49" i="27"/>
  <c r="R48" i="27"/>
  <c r="R47" i="27"/>
  <c r="R46" i="27"/>
  <c r="R45" i="27"/>
  <c r="R44" i="27"/>
  <c r="R43" i="27"/>
  <c r="R42" i="27"/>
  <c r="R41" i="27"/>
  <c r="H38" i="27"/>
  <c r="H39" i="27" s="1"/>
  <c r="R37" i="27"/>
  <c r="R36" i="27"/>
  <c r="R35" i="27"/>
  <c r="R34" i="27"/>
  <c r="R33" i="27"/>
  <c r="E31" i="27"/>
  <c r="R31" i="27" s="1"/>
  <c r="E30" i="27"/>
  <c r="R30" i="27" s="1"/>
  <c r="E29" i="27"/>
  <c r="R29" i="27" s="1"/>
  <c r="E28" i="27"/>
  <c r="R28" i="27" s="1"/>
  <c r="E27" i="27"/>
  <c r="R27" i="27" s="1"/>
  <c r="E26" i="27"/>
  <c r="R26" i="27" s="1"/>
  <c r="E25" i="27"/>
  <c r="R25" i="27" s="1"/>
  <c r="E24" i="27"/>
  <c r="R24" i="27" s="1"/>
  <c r="E23" i="27"/>
  <c r="R23" i="27" s="1"/>
  <c r="E22" i="27"/>
  <c r="R22" i="27" s="1"/>
  <c r="E21" i="27"/>
  <c r="R21" i="27" s="1"/>
  <c r="R18" i="27"/>
  <c r="R17" i="27"/>
  <c r="R11" i="27"/>
  <c r="T10" i="27" s="1"/>
  <c r="R9" i="27"/>
  <c r="T8" i="27" s="1"/>
  <c r="AC41" i="16"/>
  <c r="AD41" i="16"/>
  <c r="L29" i="26"/>
  <c r="L30" i="26" s="1"/>
  <c r="E25" i="26"/>
  <c r="L25" i="26" s="1"/>
  <c r="E24" i="26"/>
  <c r="L24" i="26" s="1"/>
  <c r="E23" i="26"/>
  <c r="L23" i="26" s="1"/>
  <c r="L22" i="26"/>
  <c r="E22" i="26"/>
  <c r="E19" i="26"/>
  <c r="L19" i="26" s="1"/>
  <c r="L18" i="26"/>
  <c r="E18" i="26"/>
  <c r="L11" i="26"/>
  <c r="L10" i="26"/>
  <c r="L13" i="26" s="1"/>
  <c r="L14" i="26" s="1"/>
  <c r="L8" i="26"/>
  <c r="L6" i="26"/>
  <c r="L29" i="25"/>
  <c r="L30" i="25" s="1"/>
  <c r="L25" i="25"/>
  <c r="L26" i="25" s="1"/>
  <c r="L22" i="25"/>
  <c r="L21" i="25"/>
  <c r="J20" i="25"/>
  <c r="L20" i="25" s="1"/>
  <c r="C20" i="25"/>
  <c r="L19" i="25"/>
  <c r="L11" i="25"/>
  <c r="L10" i="25"/>
  <c r="L14" i="25" s="1"/>
  <c r="L15" i="25" s="1"/>
  <c r="L6" i="25"/>
  <c r="L8" i="25" s="1"/>
  <c r="I1" i="25"/>
  <c r="F1" i="25"/>
  <c r="L29" i="24"/>
  <c r="L30" i="24" s="1"/>
  <c r="L25" i="24"/>
  <c r="L26" i="24" s="1"/>
  <c r="L22" i="24"/>
  <c r="L21" i="24"/>
  <c r="J20" i="24"/>
  <c r="L20" i="24" s="1"/>
  <c r="L23" i="24" s="1"/>
  <c r="C20" i="24"/>
  <c r="L19" i="24"/>
  <c r="L11" i="24"/>
  <c r="L14" i="24" s="1"/>
  <c r="L15" i="24" s="1"/>
  <c r="L10" i="24"/>
  <c r="L6" i="24"/>
  <c r="L8" i="24" s="1"/>
  <c r="I1" i="24"/>
  <c r="F1" i="24"/>
  <c r="L29" i="23"/>
  <c r="L30" i="23" s="1"/>
  <c r="L25" i="23"/>
  <c r="L26" i="23" s="1"/>
  <c r="L22" i="23"/>
  <c r="L21" i="23"/>
  <c r="J20" i="23"/>
  <c r="L20" i="23" s="1"/>
  <c r="C20" i="23"/>
  <c r="L19" i="23"/>
  <c r="L11" i="23"/>
  <c r="L10" i="23"/>
  <c r="L14" i="23" s="1"/>
  <c r="L15" i="23" s="1"/>
  <c r="L6" i="23"/>
  <c r="L8" i="23" s="1"/>
  <c r="I1" i="23"/>
  <c r="F1" i="23"/>
  <c r="L29" i="22"/>
  <c r="L30" i="22" s="1"/>
  <c r="L26" i="22"/>
  <c r="L25" i="22"/>
  <c r="L22" i="22"/>
  <c r="L21" i="22"/>
  <c r="J20" i="22"/>
  <c r="L20" i="22" s="1"/>
  <c r="C20" i="22"/>
  <c r="L19" i="22"/>
  <c r="L11" i="22"/>
  <c r="L14" i="22" s="1"/>
  <c r="L15" i="22" s="1"/>
  <c r="L10" i="22"/>
  <c r="L6" i="22"/>
  <c r="L8" i="22" s="1"/>
  <c r="I1" i="22"/>
  <c r="F1" i="22"/>
  <c r="L27" i="21"/>
  <c r="L28" i="21" s="1"/>
  <c r="L23" i="21"/>
  <c r="L24" i="21" s="1"/>
  <c r="L20" i="21"/>
  <c r="J19" i="21"/>
  <c r="E19" i="21"/>
  <c r="L19" i="21" s="1"/>
  <c r="L21" i="21" s="1"/>
  <c r="C19" i="21"/>
  <c r="L11" i="21"/>
  <c r="L10" i="21"/>
  <c r="L6" i="21"/>
  <c r="L8" i="21" s="1"/>
  <c r="I1" i="21"/>
  <c r="F1" i="21"/>
  <c r="L29" i="20"/>
  <c r="L30" i="20" s="1"/>
  <c r="L25" i="20"/>
  <c r="L26" i="20" s="1"/>
  <c r="L22" i="20"/>
  <c r="L21" i="20"/>
  <c r="J20" i="20"/>
  <c r="L20" i="20" s="1"/>
  <c r="C20" i="20"/>
  <c r="L19" i="20"/>
  <c r="L11" i="20"/>
  <c r="L10" i="20"/>
  <c r="L14" i="20" s="1"/>
  <c r="L15" i="20" s="1"/>
  <c r="L6" i="20"/>
  <c r="L8" i="20" s="1"/>
  <c r="I1" i="20"/>
  <c r="F1" i="20"/>
  <c r="L29" i="19"/>
  <c r="L30" i="19" s="1"/>
  <c r="L25" i="19"/>
  <c r="L26" i="19" s="1"/>
  <c r="L22" i="19"/>
  <c r="L21" i="19"/>
  <c r="J20" i="19"/>
  <c r="L20" i="19" s="1"/>
  <c r="C20" i="19"/>
  <c r="L19" i="19"/>
  <c r="L11" i="19"/>
  <c r="L10" i="19"/>
  <c r="L14" i="19" s="1"/>
  <c r="L15" i="19" s="1"/>
  <c r="L6" i="19"/>
  <c r="L8" i="19" s="1"/>
  <c r="L17" i="19" s="1"/>
  <c r="I1" i="19"/>
  <c r="F1" i="19"/>
  <c r="K321" i="1"/>
  <c r="H320" i="1"/>
  <c r="K320" i="1" s="1"/>
  <c r="H316" i="1"/>
  <c r="K316" i="1" s="1"/>
  <c r="H315" i="1"/>
  <c r="I315" i="1" s="1"/>
  <c r="H318" i="1"/>
  <c r="K318" i="1" s="1"/>
  <c r="H317" i="1"/>
  <c r="I317" i="1" s="1"/>
  <c r="H319" i="1"/>
  <c r="K319" i="1" s="1"/>
  <c r="K314" i="1"/>
  <c r="H313" i="1"/>
  <c r="K313" i="1" s="1"/>
  <c r="K312" i="1"/>
  <c r="H304" i="1"/>
  <c r="K304" i="1" s="1"/>
  <c r="H303" i="1"/>
  <c r="I303" i="1" s="1"/>
  <c r="H302" i="1"/>
  <c r="I302" i="1" s="1"/>
  <c r="H308" i="1"/>
  <c r="K308" i="1" s="1"/>
  <c r="H307" i="1"/>
  <c r="I307" i="1" s="1"/>
  <c r="H306" i="1"/>
  <c r="I306" i="1" s="1"/>
  <c r="H305" i="1"/>
  <c r="K305" i="1" s="1"/>
  <c r="H310" i="1"/>
  <c r="K310" i="1" s="1"/>
  <c r="H309" i="1"/>
  <c r="I309" i="1" s="1"/>
  <c r="H311" i="1"/>
  <c r="K311" i="1" s="1"/>
  <c r="K301" i="1"/>
  <c r="H300" i="1"/>
  <c r="K300" i="1" s="1"/>
  <c r="H296" i="1"/>
  <c r="K296" i="1" s="1"/>
  <c r="H295" i="1"/>
  <c r="I295" i="1" s="1"/>
  <c r="H294" i="1"/>
  <c r="K294" i="1" s="1"/>
  <c r="H293" i="1"/>
  <c r="I293" i="1" s="1"/>
  <c r="H298" i="1"/>
  <c r="K298" i="1" s="1"/>
  <c r="H297" i="1"/>
  <c r="I297" i="1" s="1"/>
  <c r="H299" i="1"/>
  <c r="K299" i="1" s="1"/>
  <c r="K292" i="1"/>
  <c r="L17" i="23" l="1"/>
  <c r="L17" i="22"/>
  <c r="L17" i="20"/>
  <c r="L14" i="21"/>
  <c r="L15" i="21" s="1"/>
  <c r="L17" i="25"/>
  <c r="L26" i="26"/>
  <c r="T224" i="27"/>
  <c r="K302" i="1"/>
  <c r="L23" i="22"/>
  <c r="L31" i="22" s="1"/>
  <c r="L32" i="22" s="1"/>
  <c r="L23" i="25"/>
  <c r="L31" i="25" s="1"/>
  <c r="L32" i="25" s="1"/>
  <c r="L23" i="19"/>
  <c r="L31" i="19" s="1"/>
  <c r="L32" i="19" s="1"/>
  <c r="L23" i="20"/>
  <c r="L31" i="20" s="1"/>
  <c r="L32" i="20" s="1"/>
  <c r="L23" i="23"/>
  <c r="L31" i="23" s="1"/>
  <c r="L32" i="23" s="1"/>
  <c r="T77" i="27"/>
  <c r="T16" i="27"/>
  <c r="T111" i="27"/>
  <c r="T140" i="27"/>
  <c r="T155" i="27"/>
  <c r="F149" i="27" s="1"/>
  <c r="P149" i="27" s="1"/>
  <c r="T148" i="27" s="1"/>
  <c r="T171" i="27"/>
  <c r="T67" i="27"/>
  <c r="T54" i="27"/>
  <c r="T132" i="27"/>
  <c r="T219" i="27"/>
  <c r="R39" i="27"/>
  <c r="H40" i="27"/>
  <c r="R40" i="27" s="1"/>
  <c r="T20" i="27"/>
  <c r="T82" i="27"/>
  <c r="R38" i="27"/>
  <c r="L16" i="26"/>
  <c r="L20" i="26"/>
  <c r="L17" i="24"/>
  <c r="L31" i="24" s="1"/>
  <c r="L32" i="24" s="1"/>
  <c r="K317" i="1"/>
  <c r="K315" i="1"/>
  <c r="I320" i="1"/>
  <c r="I316" i="1"/>
  <c r="I318" i="1"/>
  <c r="I319" i="1"/>
  <c r="I313" i="1"/>
  <c r="K309" i="1"/>
  <c r="K307" i="1"/>
  <c r="K306" i="1"/>
  <c r="K303" i="1"/>
  <c r="I304" i="1"/>
  <c r="I305" i="1"/>
  <c r="I308" i="1"/>
  <c r="I310" i="1"/>
  <c r="I311" i="1"/>
  <c r="K297" i="1"/>
  <c r="K295" i="1"/>
  <c r="I294" i="1"/>
  <c r="I300" i="1"/>
  <c r="K293" i="1"/>
  <c r="I296" i="1"/>
  <c r="I298" i="1"/>
  <c r="I299" i="1"/>
  <c r="L31" i="26" l="1"/>
  <c r="L32" i="26" s="1"/>
  <c r="L17" i="21"/>
  <c r="L29" i="21" s="1"/>
  <c r="L30" i="21" s="1"/>
  <c r="P151" i="27"/>
  <c r="T150" i="27" s="1"/>
  <c r="F96" i="27"/>
  <c r="P96" i="27" s="1"/>
  <c r="P98" i="27" s="1"/>
  <c r="T97" i="27" s="1"/>
  <c r="T32" i="27"/>
  <c r="H291" i="1"/>
  <c r="K291" i="1" s="1"/>
  <c r="H283" i="1"/>
  <c r="K283" i="1" s="1"/>
  <c r="H282" i="1"/>
  <c r="I282" i="1" s="1"/>
  <c r="H281" i="1"/>
  <c r="K281" i="1" s="1"/>
  <c r="H280" i="1"/>
  <c r="K280" i="1" s="1"/>
  <c r="H279" i="1"/>
  <c r="K279" i="1" s="1"/>
  <c r="H278" i="1"/>
  <c r="I278" i="1" s="1"/>
  <c r="I277" i="1"/>
  <c r="H277" i="1"/>
  <c r="K277" i="1" s="1"/>
  <c r="H276" i="1"/>
  <c r="K276" i="1" s="1"/>
  <c r="H287" i="1"/>
  <c r="K287" i="1" s="1"/>
  <c r="K286" i="1"/>
  <c r="H286" i="1"/>
  <c r="I286" i="1" s="1"/>
  <c r="H285" i="1"/>
  <c r="K285" i="1" s="1"/>
  <c r="H284" i="1"/>
  <c r="K284" i="1" s="1"/>
  <c r="H322" i="1"/>
  <c r="K322" i="1" s="1"/>
  <c r="H290" i="1"/>
  <c r="I290" i="1" s="1"/>
  <c r="H288" i="1"/>
  <c r="I288" i="1" s="1"/>
  <c r="T95" i="27" l="1"/>
  <c r="K290" i="1"/>
  <c r="K288" i="1"/>
  <c r="I285" i="1"/>
  <c r="K282" i="1"/>
  <c r="I281" i="1"/>
  <c r="K278" i="1"/>
  <c r="I291" i="1"/>
  <c r="I276" i="1"/>
  <c r="I280" i="1"/>
  <c r="I279" i="1"/>
  <c r="I283" i="1"/>
  <c r="I284" i="1"/>
  <c r="I287" i="1"/>
  <c r="I322" i="1"/>
  <c r="K323" i="1"/>
  <c r="H275" i="1"/>
  <c r="K275" i="1" s="1"/>
  <c r="H273" i="1"/>
  <c r="K273" i="1" s="1"/>
  <c r="H272" i="1"/>
  <c r="I272" i="1" s="1"/>
  <c r="H271" i="1"/>
  <c r="K271" i="1" s="1"/>
  <c r="H270" i="1"/>
  <c r="I270" i="1" s="1"/>
  <c r="H274" i="1"/>
  <c r="K274" i="1" s="1"/>
  <c r="K269" i="1"/>
  <c r="H289" i="1"/>
  <c r="K289" i="1" s="1"/>
  <c r="H268" i="1"/>
  <c r="I268" i="1" s="1"/>
  <c r="H265" i="1"/>
  <c r="K265" i="1" s="1"/>
  <c r="H264" i="1"/>
  <c r="I264" i="1" s="1"/>
  <c r="H266" i="1"/>
  <c r="K266" i="1" s="1"/>
  <c r="H267" i="1"/>
  <c r="K267" i="1" s="1"/>
  <c r="K263" i="1"/>
  <c r="H261" i="1"/>
  <c r="K261" i="1" s="1"/>
  <c r="H262" i="1"/>
  <c r="K262" i="1" s="1"/>
  <c r="H260" i="1"/>
  <c r="K260" i="1" s="1"/>
  <c r="H259" i="1"/>
  <c r="K259" i="1" s="1"/>
  <c r="K258" i="1"/>
  <c r="K256" i="1"/>
  <c r="H257" i="1"/>
  <c r="K257" i="1" s="1"/>
  <c r="H254" i="1"/>
  <c r="K254" i="1" s="1"/>
  <c r="H255" i="1"/>
  <c r="K255" i="1" s="1"/>
  <c r="K253" i="1"/>
  <c r="K252" i="1"/>
  <c r="K268" i="1" l="1"/>
  <c r="K272" i="1"/>
  <c r="K270" i="1"/>
  <c r="I275" i="1"/>
  <c r="I273" i="1"/>
  <c r="I271" i="1"/>
  <c r="I274" i="1"/>
  <c r="K264" i="1"/>
  <c r="I289" i="1"/>
  <c r="I265" i="1"/>
  <c r="I266" i="1"/>
  <c r="I267" i="1"/>
  <c r="I261" i="1"/>
  <c r="I262" i="1"/>
  <c r="I260" i="1"/>
  <c r="I259" i="1"/>
  <c r="I257" i="1"/>
  <c r="I254" i="1"/>
  <c r="I255" i="1"/>
  <c r="G90" i="1"/>
  <c r="I323" i="1" l="1"/>
  <c r="D42" i="16" s="1"/>
  <c r="T42" i="16" s="1"/>
  <c r="G244" i="1"/>
  <c r="X42" i="16" l="1"/>
  <c r="V42" i="16"/>
  <c r="W42" i="16"/>
  <c r="S42" i="16"/>
  <c r="U42" i="16"/>
  <c r="I26" i="18"/>
  <c r="I27" i="18"/>
  <c r="I13" i="18"/>
  <c r="I12" i="18"/>
  <c r="AC42" i="16" l="1"/>
  <c r="AD42" i="16" s="1"/>
  <c r="I29" i="18"/>
  <c r="I23" i="18"/>
  <c r="I22" i="18"/>
  <c r="I28" i="18"/>
  <c r="I25" i="18"/>
  <c r="I24" i="18"/>
  <c r="I21" i="18"/>
  <c r="I20" i="18"/>
  <c r="I19" i="18"/>
  <c r="I15" i="18"/>
  <c r="I14" i="18"/>
  <c r="I16" i="18" s="1"/>
  <c r="I19" i="13"/>
  <c r="I18" i="13"/>
  <c r="I13" i="12"/>
  <c r="I12" i="12"/>
  <c r="I30" i="18" l="1"/>
  <c r="E35" i="18" s="1"/>
  <c r="E34" i="18"/>
  <c r="E39" i="18" s="1"/>
  <c r="G250" i="1"/>
  <c r="G249" i="1"/>
  <c r="G248" i="1"/>
  <c r="G247" i="1"/>
  <c r="G246" i="1"/>
  <c r="G245" i="1"/>
  <c r="G243" i="1"/>
  <c r="G228" i="1"/>
  <c r="G195" i="1"/>
  <c r="E38" i="18" l="1"/>
  <c r="E40" i="18"/>
  <c r="E42" i="18" s="1"/>
  <c r="G194" i="1"/>
  <c r="G174" i="1"/>
  <c r="E33" i="17" l="1"/>
  <c r="H242" i="1" l="1"/>
  <c r="H237" i="1"/>
  <c r="H238" i="1"/>
  <c r="H239" i="1"/>
  <c r="H240" i="1"/>
  <c r="H236" i="1"/>
  <c r="H231" i="1"/>
  <c r="H232" i="1"/>
  <c r="H233" i="1"/>
  <c r="H234" i="1"/>
  <c r="H230" i="1"/>
  <c r="H227" i="1"/>
  <c r="H223" i="1"/>
  <c r="H222" i="1"/>
  <c r="H217" i="1"/>
  <c r="H218" i="1"/>
  <c r="H219" i="1"/>
  <c r="H216" i="1"/>
  <c r="H213" i="1"/>
  <c r="H214" i="1"/>
  <c r="H212" i="1"/>
  <c r="H206" i="1"/>
  <c r="H207" i="1"/>
  <c r="H208" i="1"/>
  <c r="H209" i="1"/>
  <c r="H210" i="1"/>
  <c r="H195" i="1"/>
  <c r="H196" i="1"/>
  <c r="H197" i="1"/>
  <c r="H198" i="1"/>
  <c r="H199" i="1"/>
  <c r="H200" i="1"/>
  <c r="H192" i="1"/>
  <c r="H185" i="1"/>
  <c r="H186" i="1"/>
  <c r="H187" i="1"/>
  <c r="H188" i="1"/>
  <c r="H189" i="1"/>
  <c r="H190" i="1"/>
  <c r="H191" i="1"/>
  <c r="H177" i="1"/>
  <c r="H178" i="1"/>
  <c r="H179" i="1"/>
  <c r="H180" i="1"/>
  <c r="H181" i="1"/>
  <c r="H182" i="1"/>
  <c r="H183" i="1"/>
  <c r="H184" i="1"/>
  <c r="H171" i="1"/>
  <c r="H172" i="1"/>
  <c r="H173" i="1"/>
  <c r="H175" i="1"/>
  <c r="H176" i="1"/>
  <c r="H166" i="1"/>
  <c r="H167" i="1"/>
  <c r="H168" i="1"/>
  <c r="H169" i="1"/>
  <c r="H170" i="1"/>
  <c r="H163" i="1"/>
  <c r="H164" i="1"/>
  <c r="H165" i="1"/>
  <c r="H158" i="1"/>
  <c r="H159" i="1"/>
  <c r="H152" i="1"/>
  <c r="H153" i="1"/>
  <c r="H154" i="1"/>
  <c r="H155" i="1"/>
  <c r="H156" i="1"/>
  <c r="H157" i="1"/>
  <c r="H146" i="1"/>
  <c r="H147" i="1"/>
  <c r="H148" i="1"/>
  <c r="H149" i="1"/>
  <c r="H150" i="1"/>
  <c r="H151" i="1"/>
  <c r="H145" i="1"/>
  <c r="H138" i="1"/>
  <c r="H139" i="1"/>
  <c r="H140" i="1"/>
  <c r="H141" i="1"/>
  <c r="H142" i="1"/>
  <c r="H143" i="1"/>
  <c r="H134" i="1"/>
  <c r="H135" i="1"/>
  <c r="H136" i="1"/>
  <c r="H137" i="1"/>
  <c r="H133" i="1"/>
  <c r="H121" i="1"/>
  <c r="H122" i="1"/>
  <c r="H123" i="1"/>
  <c r="H124" i="1"/>
  <c r="H125" i="1"/>
  <c r="H126" i="1"/>
  <c r="H127" i="1"/>
  <c r="H128" i="1"/>
  <c r="H129" i="1"/>
  <c r="H130" i="1"/>
  <c r="H131" i="1"/>
  <c r="H120" i="1"/>
  <c r="H116" i="1"/>
  <c r="H114" i="1"/>
  <c r="H113" i="1"/>
  <c r="H111" i="1"/>
  <c r="H107" i="1"/>
  <c r="H103" i="1"/>
  <c r="H104" i="1"/>
  <c r="H105" i="1"/>
  <c r="H102" i="1"/>
  <c r="H95" i="1"/>
  <c r="H96" i="1"/>
  <c r="H97" i="1"/>
  <c r="H98" i="1"/>
  <c r="H94" i="1"/>
  <c r="H88" i="1"/>
  <c r="H89" i="1"/>
  <c r="H90" i="1"/>
  <c r="H91" i="1"/>
  <c r="H87" i="1"/>
  <c r="H81" i="1"/>
  <c r="H82" i="1"/>
  <c r="H83" i="1"/>
  <c r="H84" i="1"/>
  <c r="H85" i="1"/>
  <c r="H80" i="1"/>
  <c r="H76" i="1"/>
  <c r="H74" i="1"/>
  <c r="H72" i="1"/>
  <c r="H71" i="1"/>
  <c r="H63" i="1"/>
  <c r="H64" i="1"/>
  <c r="H65" i="1"/>
  <c r="H66" i="1"/>
  <c r="H67" i="1"/>
  <c r="H62" i="1"/>
  <c r="H53" i="1"/>
  <c r="H54" i="1"/>
  <c r="H55" i="1"/>
  <c r="H56" i="1"/>
  <c r="H52" i="1"/>
  <c r="H45" i="1"/>
  <c r="H46" i="1"/>
  <c r="H47" i="1"/>
  <c r="H48" i="1"/>
  <c r="H49" i="1"/>
  <c r="H44" i="1"/>
  <c r="H41" i="1"/>
  <c r="H39" i="1"/>
  <c r="H33" i="1"/>
  <c r="I33" i="1" s="1"/>
  <c r="H34" i="1"/>
  <c r="I34" i="1" s="1"/>
  <c r="H35" i="1"/>
  <c r="I35" i="1" s="1"/>
  <c r="H36" i="1"/>
  <c r="I36" i="1" s="1"/>
  <c r="H32" i="1"/>
  <c r="H25" i="1"/>
  <c r="H26" i="1"/>
  <c r="H27" i="1"/>
  <c r="H28" i="1"/>
  <c r="H21" i="1"/>
  <c r="H22" i="1"/>
  <c r="H23" i="1"/>
  <c r="H24" i="1"/>
  <c r="H19" i="1"/>
  <c r="H20" i="1"/>
  <c r="H16" i="1"/>
  <c r="H17" i="1"/>
  <c r="H18" i="1"/>
  <c r="H13" i="1"/>
  <c r="H14" i="1"/>
  <c r="H15" i="1"/>
  <c r="H12" i="1"/>
  <c r="F227" i="1" l="1"/>
  <c r="F233" i="1"/>
  <c r="F231" i="1"/>
  <c r="F234" i="1"/>
  <c r="F13" i="1"/>
  <c r="F236" i="1"/>
  <c r="F237" i="1"/>
  <c r="K233" i="1" l="1"/>
  <c r="I233" i="1"/>
  <c r="F76" i="1"/>
  <c r="K54" i="1"/>
  <c r="I54" i="1" l="1"/>
  <c r="F47" i="1"/>
  <c r="K48" i="1"/>
  <c r="F45" i="1"/>
  <c r="F44" i="1"/>
  <c r="I48" i="1" l="1"/>
  <c r="K35" i="1" l="1"/>
  <c r="K27" i="1" l="1"/>
  <c r="K26" i="1"/>
  <c r="I26" i="1"/>
  <c r="K21" i="1"/>
  <c r="K20" i="1"/>
  <c r="K19" i="1"/>
  <c r="I18" i="1"/>
  <c r="K17" i="1"/>
  <c r="K16" i="1"/>
  <c r="K14" i="1"/>
  <c r="I27" i="1" l="1"/>
  <c r="I21" i="1"/>
  <c r="K18" i="1"/>
  <c r="I19" i="1"/>
  <c r="I20" i="1"/>
  <c r="I17" i="1"/>
  <c r="I16" i="1"/>
  <c r="I14" i="1"/>
  <c r="F12" i="1"/>
  <c r="I12" i="1" s="1"/>
  <c r="H250" i="1" l="1"/>
  <c r="H249" i="1"/>
  <c r="H248" i="1"/>
  <c r="H247" i="1"/>
  <c r="H246" i="1"/>
  <c r="H245" i="1"/>
  <c r="H244" i="1"/>
  <c r="H243" i="1"/>
  <c r="H228" i="1"/>
  <c r="H205" i="1"/>
  <c r="H204" i="1"/>
  <c r="H194" i="1"/>
  <c r="H174" i="1"/>
  <c r="H59" i="1"/>
  <c r="K251" i="1" l="1"/>
  <c r="K224" i="1"/>
  <c r="K225" i="1"/>
  <c r="K226" i="1"/>
  <c r="K227" i="1"/>
  <c r="K228" i="1"/>
  <c r="K229" i="1"/>
  <c r="K230" i="1"/>
  <c r="K232" i="1"/>
  <c r="K235" i="1"/>
  <c r="K236" i="1"/>
  <c r="K237" i="1"/>
  <c r="K239" i="1"/>
  <c r="K240" i="1"/>
  <c r="K241" i="1"/>
  <c r="K242" i="1"/>
  <c r="K191" i="1"/>
  <c r="K192" i="1"/>
  <c r="K193" i="1"/>
  <c r="K195" i="1"/>
  <c r="K196" i="1"/>
  <c r="K197" i="1"/>
  <c r="K198" i="1"/>
  <c r="K199" i="1"/>
  <c r="K200" i="1"/>
  <c r="K201" i="1"/>
  <c r="K202" i="1"/>
  <c r="K203" i="1"/>
  <c r="K205" i="1"/>
  <c r="K206" i="1"/>
  <c r="K207" i="1"/>
  <c r="K208" i="1"/>
  <c r="K209" i="1"/>
  <c r="K210" i="1"/>
  <c r="K211" i="1"/>
  <c r="K212" i="1"/>
  <c r="K213" i="1"/>
  <c r="K214" i="1"/>
  <c r="K215" i="1"/>
  <c r="K216" i="1"/>
  <c r="K217" i="1"/>
  <c r="K218" i="1"/>
  <c r="K219" i="1"/>
  <c r="K220" i="1"/>
  <c r="K221" i="1"/>
  <c r="K222" i="1"/>
  <c r="K223" i="1"/>
  <c r="K161" i="1"/>
  <c r="K162" i="1"/>
  <c r="K163" i="1"/>
  <c r="K164" i="1"/>
  <c r="K165" i="1"/>
  <c r="K166" i="1"/>
  <c r="K167" i="1"/>
  <c r="K168" i="1"/>
  <c r="K169" i="1"/>
  <c r="K170" i="1"/>
  <c r="K171" i="1"/>
  <c r="K172" i="1"/>
  <c r="K173" i="1"/>
  <c r="K175" i="1"/>
  <c r="K176" i="1"/>
  <c r="K177" i="1"/>
  <c r="K178" i="1"/>
  <c r="K179" i="1"/>
  <c r="K180" i="1"/>
  <c r="K181" i="1"/>
  <c r="K182" i="1"/>
  <c r="K183" i="1"/>
  <c r="K184" i="1"/>
  <c r="K185" i="1"/>
  <c r="K186" i="1"/>
  <c r="K187" i="1"/>
  <c r="K188" i="1"/>
  <c r="K189" i="1"/>
  <c r="K190" i="1"/>
  <c r="K138" i="1"/>
  <c r="K139" i="1"/>
  <c r="K140" i="1"/>
  <c r="K141" i="1"/>
  <c r="K143" i="1"/>
  <c r="K144" i="1"/>
  <c r="K145" i="1"/>
  <c r="K146" i="1"/>
  <c r="K147" i="1"/>
  <c r="K148" i="1"/>
  <c r="K149" i="1"/>
  <c r="K150" i="1"/>
  <c r="K151" i="1"/>
  <c r="K152" i="1"/>
  <c r="K153" i="1"/>
  <c r="K154" i="1"/>
  <c r="K155" i="1"/>
  <c r="K156" i="1"/>
  <c r="K157" i="1"/>
  <c r="K158" i="1"/>
  <c r="K159" i="1"/>
  <c r="K160" i="1"/>
  <c r="K122" i="1"/>
  <c r="K123" i="1"/>
  <c r="K124" i="1"/>
  <c r="K125" i="1"/>
  <c r="K126" i="1"/>
  <c r="K127" i="1"/>
  <c r="K128" i="1"/>
  <c r="K129" i="1"/>
  <c r="K130" i="1"/>
  <c r="K131" i="1"/>
  <c r="K132" i="1"/>
  <c r="K133" i="1"/>
  <c r="K134" i="1"/>
  <c r="K135" i="1"/>
  <c r="K136" i="1"/>
  <c r="K137" i="1"/>
  <c r="K115" i="1"/>
  <c r="K116" i="1"/>
  <c r="K117" i="1"/>
  <c r="K118" i="1"/>
  <c r="K119" i="1"/>
  <c r="K120" i="1"/>
  <c r="K121" i="1"/>
  <c r="K105" i="1"/>
  <c r="K106" i="1"/>
  <c r="K107" i="1"/>
  <c r="K108" i="1"/>
  <c r="K109" i="1"/>
  <c r="K110" i="1"/>
  <c r="K111" i="1"/>
  <c r="K112" i="1"/>
  <c r="K113" i="1"/>
  <c r="K114" i="1"/>
  <c r="K96" i="1"/>
  <c r="K97" i="1"/>
  <c r="K98" i="1"/>
  <c r="K99" i="1"/>
  <c r="K100" i="1"/>
  <c r="K101" i="1"/>
  <c r="K102" i="1"/>
  <c r="K103" i="1"/>
  <c r="K104" i="1"/>
  <c r="K90" i="1"/>
  <c r="K91" i="1"/>
  <c r="K92" i="1"/>
  <c r="K93" i="1"/>
  <c r="K94" i="1"/>
  <c r="K95" i="1"/>
  <c r="K83" i="1"/>
  <c r="K84" i="1"/>
  <c r="K85" i="1"/>
  <c r="K86" i="1"/>
  <c r="K87" i="1"/>
  <c r="K88" i="1"/>
  <c r="K89" i="1"/>
  <c r="K75" i="1"/>
  <c r="K76" i="1"/>
  <c r="K77" i="1"/>
  <c r="K78" i="1"/>
  <c r="K79" i="1"/>
  <c r="K80" i="1"/>
  <c r="K81" i="1"/>
  <c r="K82" i="1"/>
  <c r="K66" i="1"/>
  <c r="K67" i="1"/>
  <c r="K68" i="1"/>
  <c r="K69" i="1"/>
  <c r="K70" i="1"/>
  <c r="K71" i="1"/>
  <c r="K72" i="1"/>
  <c r="K73" i="1"/>
  <c r="K74" i="1"/>
  <c r="K52" i="1"/>
  <c r="K53" i="1"/>
  <c r="K55" i="1"/>
  <c r="K56" i="1"/>
  <c r="K57" i="1"/>
  <c r="K58" i="1"/>
  <c r="K60" i="1"/>
  <c r="K61" i="1"/>
  <c r="K62" i="1"/>
  <c r="K63" i="1"/>
  <c r="K64" i="1"/>
  <c r="K43" i="1"/>
  <c r="K45" i="1"/>
  <c r="K46" i="1"/>
  <c r="K47" i="1"/>
  <c r="K50" i="1"/>
  <c r="K51" i="1"/>
  <c r="K33" i="1"/>
  <c r="K34" i="1"/>
  <c r="K37" i="1"/>
  <c r="K38" i="1"/>
  <c r="K39" i="1"/>
  <c r="K41" i="1"/>
  <c r="K42" i="1"/>
  <c r="K29" i="1"/>
  <c r="K30" i="1"/>
  <c r="K31" i="1"/>
  <c r="K32" i="1"/>
  <c r="K13" i="1"/>
  <c r="K15" i="1"/>
  <c r="K23" i="1"/>
  <c r="K24" i="1"/>
  <c r="K25" i="1"/>
  <c r="I237" i="1"/>
  <c r="I239" i="1"/>
  <c r="I240" i="1"/>
  <c r="I232" i="1"/>
  <c r="I228" i="1"/>
  <c r="I223" i="1"/>
  <c r="I217" i="1"/>
  <c r="I218" i="1"/>
  <c r="I219" i="1"/>
  <c r="I213" i="1"/>
  <c r="I214" i="1"/>
  <c r="I206" i="1"/>
  <c r="I207" i="1"/>
  <c r="I208" i="1"/>
  <c r="I209" i="1"/>
  <c r="I210" i="1"/>
  <c r="I195" i="1"/>
  <c r="I196" i="1"/>
  <c r="I197" i="1"/>
  <c r="I198" i="1"/>
  <c r="I199" i="1"/>
  <c r="I200" i="1"/>
  <c r="I190" i="1"/>
  <c r="I191" i="1"/>
  <c r="I192" i="1"/>
  <c r="I183" i="1"/>
  <c r="I184" i="1"/>
  <c r="I185" i="1"/>
  <c r="I186" i="1"/>
  <c r="I187" i="1"/>
  <c r="I188" i="1"/>
  <c r="I189" i="1"/>
  <c r="I175" i="1"/>
  <c r="I176" i="1"/>
  <c r="I177" i="1"/>
  <c r="I178" i="1"/>
  <c r="I179" i="1"/>
  <c r="I180" i="1"/>
  <c r="I181" i="1"/>
  <c r="I182" i="1"/>
  <c r="I169" i="1"/>
  <c r="I170" i="1"/>
  <c r="I171" i="1"/>
  <c r="I172" i="1"/>
  <c r="I173" i="1"/>
  <c r="I163" i="1"/>
  <c r="I164" i="1"/>
  <c r="I165" i="1"/>
  <c r="I166" i="1"/>
  <c r="I167" i="1"/>
  <c r="I168" i="1"/>
  <c r="I146" i="1"/>
  <c r="I147" i="1"/>
  <c r="I148" i="1"/>
  <c r="I149" i="1"/>
  <c r="I150" i="1"/>
  <c r="I151" i="1"/>
  <c r="I152" i="1"/>
  <c r="I153" i="1"/>
  <c r="I154" i="1"/>
  <c r="I155" i="1"/>
  <c r="I156" i="1"/>
  <c r="I157" i="1"/>
  <c r="I158" i="1"/>
  <c r="I159" i="1"/>
  <c r="I134" i="1"/>
  <c r="I135" i="1"/>
  <c r="I136" i="1"/>
  <c r="I137" i="1"/>
  <c r="I138" i="1"/>
  <c r="I139" i="1"/>
  <c r="I140" i="1"/>
  <c r="I141" i="1"/>
  <c r="I143" i="1"/>
  <c r="I145" i="1"/>
  <c r="I121" i="1"/>
  <c r="I122" i="1"/>
  <c r="I123" i="1"/>
  <c r="I124" i="1"/>
  <c r="I125" i="1"/>
  <c r="I126" i="1"/>
  <c r="I127" i="1"/>
  <c r="I128" i="1"/>
  <c r="I129" i="1"/>
  <c r="I130" i="1"/>
  <c r="I131" i="1"/>
  <c r="I103" i="1"/>
  <c r="I104" i="1"/>
  <c r="I105" i="1"/>
  <c r="I95" i="1"/>
  <c r="I96" i="1"/>
  <c r="I97" i="1"/>
  <c r="I98" i="1"/>
  <c r="I89" i="1"/>
  <c r="I81" i="1"/>
  <c r="I82" i="1"/>
  <c r="I83" i="1"/>
  <c r="I84" i="1"/>
  <c r="I85" i="1"/>
  <c r="I87" i="1"/>
  <c r="I88" i="1"/>
  <c r="I90" i="1"/>
  <c r="I91" i="1"/>
  <c r="I72" i="1"/>
  <c r="I74" i="1"/>
  <c r="I76" i="1"/>
  <c r="I63" i="1"/>
  <c r="I64" i="1"/>
  <c r="I66" i="1"/>
  <c r="I67" i="1"/>
  <c r="I53" i="1"/>
  <c r="I55" i="1"/>
  <c r="I56" i="1"/>
  <c r="I45" i="1"/>
  <c r="I46" i="1"/>
  <c r="I47" i="1"/>
  <c r="I41" i="1"/>
  <c r="I13" i="1"/>
  <c r="I15" i="1"/>
  <c r="I23" i="1"/>
  <c r="I24" i="1"/>
  <c r="I25" i="1"/>
  <c r="K12" i="1"/>
  <c r="K243" i="1"/>
  <c r="K244" i="1"/>
  <c r="I245" i="1"/>
  <c r="K246" i="1"/>
  <c r="K247" i="1"/>
  <c r="K248" i="1"/>
  <c r="I249" i="1"/>
  <c r="K250" i="1"/>
  <c r="I238" i="1"/>
  <c r="K231" i="1"/>
  <c r="K234" i="1"/>
  <c r="I205" i="1"/>
  <c r="K204" i="1"/>
  <c r="K194" i="1"/>
  <c r="I174" i="1"/>
  <c r="K142" i="1"/>
  <c r="K238" i="1" l="1"/>
  <c r="I142" i="1"/>
  <c r="I231" i="1"/>
  <c r="I234" i="1"/>
  <c r="I248" i="1"/>
  <c r="I244" i="1"/>
  <c r="K249" i="1"/>
  <c r="I247" i="1"/>
  <c r="I250" i="1"/>
  <c r="I246" i="1"/>
  <c r="K245" i="1"/>
  <c r="I243" i="1"/>
  <c r="K174" i="1"/>
  <c r="K59" i="1"/>
  <c r="K44" i="1"/>
  <c r="K65" i="1" l="1"/>
  <c r="I65" i="1"/>
  <c r="K49" i="1"/>
  <c r="I49" i="1"/>
  <c r="K36" i="1"/>
  <c r="K28" i="1"/>
  <c r="I28" i="1"/>
  <c r="I22" i="1"/>
  <c r="K22" i="1"/>
  <c r="AC39" i="16"/>
  <c r="AD39" i="16" s="1"/>
  <c r="AC37" i="16"/>
  <c r="AD37" i="16" s="1"/>
  <c r="AC35" i="16"/>
  <c r="AD35" i="16" s="1"/>
  <c r="AC33" i="16"/>
  <c r="AD33" i="16" s="1"/>
  <c r="AC31" i="16"/>
  <c r="AD31" i="16" s="1"/>
  <c r="AC29" i="16"/>
  <c r="AD29" i="16" s="1"/>
  <c r="AC27" i="16"/>
  <c r="AD27" i="16" s="1"/>
  <c r="AC25" i="16"/>
  <c r="AD25" i="16" s="1"/>
  <c r="AC23" i="16"/>
  <c r="AD23" i="16" s="1"/>
  <c r="AC21" i="16"/>
  <c r="AD21" i="16" s="1"/>
  <c r="AC19" i="16"/>
  <c r="AD19" i="16" s="1"/>
  <c r="AC17" i="16"/>
  <c r="AD17" i="16" s="1"/>
  <c r="AC15" i="16"/>
  <c r="AD15" i="16" s="1"/>
  <c r="AC13" i="16"/>
  <c r="AD13" i="16" s="1"/>
  <c r="AC11" i="16"/>
  <c r="AD11" i="16" s="1"/>
  <c r="AC9" i="16"/>
  <c r="AD9" i="16" s="1"/>
  <c r="AC7" i="16"/>
  <c r="K324" i="1" l="1"/>
  <c r="I59" i="1"/>
  <c r="I60" i="1" s="1"/>
  <c r="D18" i="16" s="1"/>
  <c r="I18" i="16" l="1"/>
  <c r="H18" i="16"/>
  <c r="J18" i="16"/>
  <c r="I222" i="1"/>
  <c r="I212" i="1"/>
  <c r="I116" i="1"/>
  <c r="I114" i="1"/>
  <c r="I113" i="1"/>
  <c r="I111" i="1"/>
  <c r="K18" i="16" l="1"/>
  <c r="AC18" i="16" s="1"/>
  <c r="AD18" i="16" s="1"/>
  <c r="I117" i="1"/>
  <c r="D30" i="16" s="1"/>
  <c r="I224" i="1"/>
  <c r="D38" i="16" s="1"/>
  <c r="X38" i="16" s="1"/>
  <c r="X45" i="16" s="1"/>
  <c r="Z38" i="16" l="1"/>
  <c r="Y38" i="16"/>
  <c r="U30" i="16"/>
  <c r="R30" i="16"/>
  <c r="T30" i="16"/>
  <c r="S30" i="16"/>
  <c r="V30" i="16"/>
  <c r="I216" i="1"/>
  <c r="I230" i="1"/>
  <c r="I242" i="1"/>
  <c r="I204" i="1"/>
  <c r="I194" i="1"/>
  <c r="I227" i="1"/>
  <c r="I133" i="1"/>
  <c r="I120" i="1"/>
  <c r="I236" i="1"/>
  <c r="I107" i="1"/>
  <c r="I102" i="1"/>
  <c r="I94" i="1"/>
  <c r="I80" i="1"/>
  <c r="AC38" i="16" l="1"/>
  <c r="AC30" i="16"/>
  <c r="AD30" i="16" s="1"/>
  <c r="I251" i="1"/>
  <c r="D40" i="16" s="1"/>
  <c r="I99" i="1"/>
  <c r="D26" i="16" s="1"/>
  <c r="I201" i="1"/>
  <c r="D34" i="16" s="1"/>
  <c r="I92" i="1"/>
  <c r="D24" i="16" s="1"/>
  <c r="I160" i="1"/>
  <c r="D32" i="16" s="1"/>
  <c r="I220" i="1"/>
  <c r="D36" i="16" s="1"/>
  <c r="I108" i="1"/>
  <c r="D28" i="16" s="1"/>
  <c r="I62" i="1"/>
  <c r="I32" i="1"/>
  <c r="I17" i="13"/>
  <c r="I20" i="13"/>
  <c r="I12" i="13"/>
  <c r="I13" i="13"/>
  <c r="I14" i="12"/>
  <c r="E31" i="12" s="1"/>
  <c r="I18" i="12"/>
  <c r="I19" i="12"/>
  <c r="I20" i="12"/>
  <c r="I21" i="12"/>
  <c r="I22" i="12"/>
  <c r="I17" i="12"/>
  <c r="I71" i="1"/>
  <c r="L28" i="16" l="1"/>
  <c r="M28" i="16"/>
  <c r="N32" i="16"/>
  <c r="M32" i="16"/>
  <c r="O32" i="16"/>
  <c r="AD38" i="16"/>
  <c r="AB40" i="16"/>
  <c r="AB45" i="16" s="1"/>
  <c r="Y40" i="16"/>
  <c r="Y45" i="16" s="1"/>
  <c r="Z40" i="16"/>
  <c r="Z45" i="16" s="1"/>
  <c r="U34" i="16"/>
  <c r="R34" i="16"/>
  <c r="O34" i="16"/>
  <c r="T34" i="16"/>
  <c r="S34" i="16"/>
  <c r="W34" i="16"/>
  <c r="N34" i="16"/>
  <c r="V34" i="16"/>
  <c r="P34" i="16"/>
  <c r="Q34" i="16"/>
  <c r="N28" i="16"/>
  <c r="R26" i="16"/>
  <c r="P26" i="16"/>
  <c r="Q26" i="16"/>
  <c r="AA40" i="16"/>
  <c r="AA45" i="16" s="1"/>
  <c r="S32" i="16"/>
  <c r="T32" i="16"/>
  <c r="V32" i="16"/>
  <c r="P32" i="16"/>
  <c r="Q32" i="16"/>
  <c r="U32" i="16"/>
  <c r="R32" i="16"/>
  <c r="N36" i="16"/>
  <c r="V36" i="16"/>
  <c r="P36" i="16"/>
  <c r="O36" i="16"/>
  <c r="Q36" i="16"/>
  <c r="S36" i="16"/>
  <c r="U36" i="16"/>
  <c r="T36" i="16"/>
  <c r="R36" i="16"/>
  <c r="W36" i="16"/>
  <c r="P24" i="16"/>
  <c r="O24" i="16"/>
  <c r="Q24" i="16"/>
  <c r="N24" i="16"/>
  <c r="I14" i="13"/>
  <c r="E25" i="13" s="1"/>
  <c r="E30" i="13" s="1"/>
  <c r="I21" i="13"/>
  <c r="E26" i="13" s="1"/>
  <c r="E27" i="12"/>
  <c r="E32" i="12" s="1"/>
  <c r="I23" i="12"/>
  <c r="E28" i="12" s="1"/>
  <c r="I77" i="1"/>
  <c r="D22" i="16" s="1"/>
  <c r="I68" i="1"/>
  <c r="D20" i="16" s="1"/>
  <c r="I37" i="1"/>
  <c r="D10" i="16" s="1"/>
  <c r="I52" i="1"/>
  <c r="V45" i="16" l="1"/>
  <c r="L22" i="16"/>
  <c r="K22" i="16"/>
  <c r="U45" i="16"/>
  <c r="W45" i="16"/>
  <c r="O28" i="16"/>
  <c r="AC28" i="16" s="1"/>
  <c r="AD28" i="16" s="1"/>
  <c r="E31" i="13"/>
  <c r="E33" i="13" s="1"/>
  <c r="E29" i="13"/>
  <c r="AC40" i="16"/>
  <c r="AD40" i="16" s="1"/>
  <c r="AC34" i="16"/>
  <c r="AD34" i="16" s="1"/>
  <c r="AC26" i="16"/>
  <c r="AD26" i="16" s="1"/>
  <c r="AC32" i="16"/>
  <c r="AD32" i="16" s="1"/>
  <c r="AC36" i="16"/>
  <c r="AD36" i="16" s="1"/>
  <c r="R24" i="16"/>
  <c r="J22" i="16"/>
  <c r="I22" i="16"/>
  <c r="M22" i="16" s="1"/>
  <c r="K20" i="16"/>
  <c r="L20" i="16"/>
  <c r="G10" i="16"/>
  <c r="F10" i="16"/>
  <c r="I57" i="1"/>
  <c r="D16" i="16" s="1"/>
  <c r="E33" i="12"/>
  <c r="I44" i="1"/>
  <c r="I50" i="1" s="1"/>
  <c r="I39" i="1"/>
  <c r="D14" i="16" l="1"/>
  <c r="G14" i="16" s="1"/>
  <c r="AC24" i="16"/>
  <c r="AD24" i="16" s="1"/>
  <c r="AC20" i="16"/>
  <c r="AD20" i="16" s="1"/>
  <c r="J16" i="16"/>
  <c r="I16" i="16"/>
  <c r="H16" i="16"/>
  <c r="H14" i="16"/>
  <c r="AC10" i="16"/>
  <c r="AD10" i="16" s="1"/>
  <c r="I29" i="1"/>
  <c r="D8" i="16" s="1"/>
  <c r="E35" i="12"/>
  <c r="I42" i="1"/>
  <c r="D12" i="16" s="1"/>
  <c r="S8" i="16" l="1"/>
  <c r="S45" i="16" s="1"/>
  <c r="J8" i="16"/>
  <c r="J45" i="16" s="1"/>
  <c r="F8" i="16"/>
  <c r="R8" i="16"/>
  <c r="R45" i="16" s="1"/>
  <c r="N8" i="16"/>
  <c r="N45" i="16" s="1"/>
  <c r="Q8" i="16"/>
  <c r="Q45" i="16" s="1"/>
  <c r="P8" i="16"/>
  <c r="P45" i="16" s="1"/>
  <c r="O8" i="16"/>
  <c r="O45" i="16" s="1"/>
  <c r="I8" i="16"/>
  <c r="M8" i="16"/>
  <c r="M45" i="16" s="1"/>
  <c r="K8" i="16"/>
  <c r="E8" i="16"/>
  <c r="H8" i="16"/>
  <c r="H45" i="16" s="1"/>
  <c r="T8" i="16"/>
  <c r="T45" i="16" s="1"/>
  <c r="L8" i="16"/>
  <c r="L45" i="16" s="1"/>
  <c r="G8" i="16"/>
  <c r="G45" i="16" s="1"/>
  <c r="I324" i="1"/>
  <c r="F12" i="16"/>
  <c r="AC12" i="16" s="1"/>
  <c r="AD12" i="16" s="1"/>
  <c r="AC22" i="16"/>
  <c r="AD22" i="16" s="1"/>
  <c r="K16" i="16"/>
  <c r="I14" i="16"/>
  <c r="I45" i="16" l="1"/>
  <c r="K45" i="16"/>
  <c r="F45" i="16"/>
  <c r="AC16" i="16"/>
  <c r="AD16" i="16" s="1"/>
  <c r="AC14" i="16"/>
  <c r="AC8" i="16"/>
  <c r="AD8" i="16" s="1"/>
  <c r="E45" i="16"/>
  <c r="AD14" i="16" l="1"/>
  <c r="AC43" i="16"/>
  <c r="F46" i="16"/>
  <c r="G46" i="16" s="1"/>
  <c r="H46" i="16" s="1"/>
  <c r="I46" i="16" s="1"/>
  <c r="J46" i="16" s="1"/>
  <c r="K46" i="16" s="1"/>
  <c r="L46" i="16" s="1"/>
  <c r="M46" i="16" s="1"/>
  <c r="N46" i="16" s="1"/>
  <c r="O46" i="16" s="1"/>
  <c r="P46" i="16" s="1"/>
  <c r="Q46" i="16" s="1"/>
  <c r="R46" i="16" s="1"/>
  <c r="S46" i="16" s="1"/>
  <c r="T46" i="16" s="1"/>
  <c r="U46" i="16" s="1"/>
  <c r="V46" i="16" s="1"/>
  <c r="W46" i="16" s="1"/>
  <c r="X46" i="16" s="1"/>
  <c r="Y46" i="16" s="1"/>
  <c r="Z46" i="16" s="1"/>
  <c r="AA46" i="16" s="1"/>
  <c r="AC46" i="16" s="1"/>
</calcChain>
</file>

<file path=xl/sharedStrings.xml><?xml version="1.0" encoding="utf-8"?>
<sst xmlns="http://schemas.openxmlformats.org/spreadsheetml/2006/main" count="3170" uniqueCount="1186">
  <si>
    <t>ITEM</t>
  </si>
  <si>
    <t>CÓDIGO</t>
  </si>
  <si>
    <t>FONTE</t>
  </si>
  <si>
    <t>DESCRIÇÃO</t>
  </si>
  <si>
    <t>UNID.</t>
  </si>
  <si>
    <t>PREÇO
 TOTAL</t>
  </si>
  <si>
    <t>1.1</t>
  </si>
  <si>
    <t>1.2</t>
  </si>
  <si>
    <t>SERVIÇOS PRELIMINARES</t>
  </si>
  <si>
    <r>
      <t>Fonte:</t>
    </r>
    <r>
      <rPr>
        <sz val="11"/>
        <color theme="1"/>
        <rFont val="Calibri"/>
        <family val="2"/>
        <scheme val="minor"/>
      </rPr>
      <t> LABOR</t>
    </r>
  </si>
  <si>
    <r>
      <t>Versão:</t>
    </r>
    <r>
      <rPr>
        <sz val="11"/>
        <color theme="1"/>
        <rFont val="Calibri"/>
        <family val="2"/>
        <scheme val="minor"/>
      </rPr>
      <t> 1</t>
    </r>
  </si>
  <si>
    <t>MÃO DE OBRA</t>
  </si>
  <si>
    <t>Unid</t>
  </si>
  <si>
    <t>Código</t>
  </si>
  <si>
    <t>Coefic.</t>
  </si>
  <si>
    <t>C. Prod.</t>
  </si>
  <si>
    <t>Pr. Prod.</t>
  </si>
  <si>
    <t>Pr. Improd.</t>
  </si>
  <si>
    <t>Pr. Unit.</t>
  </si>
  <si>
    <t>Subtotal</t>
  </si>
  <si>
    <t>H</t>
  </si>
  <si>
    <t>SubTotal:</t>
  </si>
  <si>
    <t>RESUMO</t>
  </si>
  <si>
    <t>DISCRIMINAÇÃO</t>
  </si>
  <si>
    <t>TAXA(%)</t>
  </si>
  <si>
    <t>VALORES</t>
  </si>
  <si>
    <t>Mão-de-Obra(A)</t>
  </si>
  <si>
    <t>Materiais(B)</t>
  </si>
  <si>
    <t>Equipamentos(C)</t>
  </si>
  <si>
    <t>Produção da Equipe(D)</t>
  </si>
  <si>
    <t>Custo Horário Total(A+C)</t>
  </si>
  <si>
    <t>Custo Unitário da Execução[(A/D)+(C/D)] = E</t>
  </si>
  <si>
    <t>Custo Direto Total(B+E)</t>
  </si>
  <si>
    <t>Bonificações e Despesas Indiretas - BDI</t>
  </si>
  <si>
    <t>CUSTO UNITÁRIO (Adotado)</t>
  </si>
  <si>
    <t>m²</t>
  </si>
  <si>
    <t>QUANT</t>
  </si>
  <si>
    <t>MATERIAL</t>
  </si>
  <si>
    <t>M</t>
  </si>
  <si>
    <t>KG</t>
  </si>
  <si>
    <t>Locação de obra com gabarito de madeira</t>
  </si>
  <si>
    <t>SUBTOTAL 01</t>
  </si>
  <si>
    <t>SUBTOTAL 08</t>
  </si>
  <si>
    <t>PAVIMENTAÇÃO E PAISAGISMO</t>
  </si>
  <si>
    <t>UN</t>
  </si>
  <si>
    <t xml:space="preserve">  200206 </t>
  </si>
  <si>
    <t>9.1</t>
  </si>
  <si>
    <t>9.2</t>
  </si>
  <si>
    <t>200202</t>
  </si>
  <si>
    <t>m</t>
  </si>
  <si>
    <t>Porta de abrir tipo veneziana em alumínio anodizado, linha 25, completa, incl. puxador com tranca, caixilho, alizar e contramarco</t>
  </si>
  <si>
    <t>8.1</t>
  </si>
  <si>
    <r>
      <t xml:space="preserve">P R E F E I T U R A   M U N I C I P A L  D E
</t>
    </r>
    <r>
      <rPr>
        <b/>
        <sz val="36"/>
        <color indexed="8"/>
        <rFont val="Calibri"/>
        <family val="2"/>
      </rPr>
      <t>Á G U I A  B R A N C A</t>
    </r>
  </si>
  <si>
    <t>1.3</t>
  </si>
  <si>
    <t>1.4</t>
  </si>
  <si>
    <t xml:space="preserve">Placa de obra nas dimensões de 2.0 x 4.0 m, padrão IOPES </t>
  </si>
  <si>
    <t>Barracão para escritório com sanitário área de 14.50 m2, de chapa de compens. 12mm e pontalete 8x8cm, piso cimentado e cobertura de telha de fibroc. 6mm, incl. ponto de luz e cx. de inspeção, conf. projeto (1 utilização)</t>
  </si>
  <si>
    <t>1.5</t>
  </si>
  <si>
    <t>Rede de luz, incl. padrão entrada de energia trifás., cabo de ligação até barracões, quadro de distrib., disj. e chave de força (quando necessário), cons. 20m entre padrão entrada e QDG, conf. projeto (1 utilização)</t>
  </si>
  <si>
    <t>1.6</t>
  </si>
  <si>
    <t>Rede de água com padrão de entrada d'água diâm. 3/4", conf. espec. CESAN, incl. tubos e conexões para alimentação, distribuição, extravasor e limpeza, cons. o padrão a 25m, conf. projeto (1 utilização)</t>
  </si>
  <si>
    <t>MOVIMENTAÇÃO DE TERRA</t>
  </si>
  <si>
    <t>2.1</t>
  </si>
  <si>
    <t>Escavação manual em material de 1a. categoria, até 1.50 m de profundidade</t>
  </si>
  <si>
    <t>m³</t>
  </si>
  <si>
    <t>Reaterro apiloado de cavas de fundação, em camadas de 20 cm</t>
  </si>
  <si>
    <t>SUBTOTAL 02</t>
  </si>
  <si>
    <t>1</t>
  </si>
  <si>
    <t>3.1</t>
  </si>
  <si>
    <t>INFRA-ESTRUTURA</t>
  </si>
  <si>
    <t>3</t>
  </si>
  <si>
    <t>2</t>
  </si>
  <si>
    <t>SINAPI</t>
  </si>
  <si>
    <t>Fôrma de tábua de madeira de 2.5x30.0cm, levando-se em conta utilização 3 vezes (incluindo o material, corte, montagem, escoramento e desforma)</t>
  </si>
  <si>
    <t>Fornecimento, dobragem e colocação em fôrma, de armadura CA-50 A média, diâmetro de 6.3 a 10.0 mm</t>
  </si>
  <si>
    <t>Fornecimento, dobragem e colocação em fôrma, de armadura CA-50 A grossa diâmetro de 12.5 a 25.0 mm (1/2 a 1")</t>
  </si>
  <si>
    <t>kg</t>
  </si>
  <si>
    <t>3.2</t>
  </si>
  <si>
    <t>SUPRA-ESTRUTURA</t>
  </si>
  <si>
    <t>Fornecimento e aplicação de concreto USINADO Fck=30 MPa - considerando BOMBEAMENTO (5% de perdas já incluído no custo) (6% de taxa p/ concr. bombeavel)</t>
  </si>
  <si>
    <t>Fornecimento, dobragem e colocação em fôrma, de armadura CA-50 A grossa, diâmetro de 12.5 a 25.0mm</t>
  </si>
  <si>
    <t>Fornecimento, dobragem e colocação em fôrma, de armadura CA-60 B fina, diâmetro de 4.0 a 7.0mm</t>
  </si>
  <si>
    <t>Fôrma com chapa compensada plastificada esp. 12mm, utização 5 vezes</t>
  </si>
  <si>
    <t>SUBTOTAL 03</t>
  </si>
  <si>
    <t>COBERTURA</t>
  </si>
  <si>
    <t>Estrutura de madeira de lei tipo Paraju ou equivalente para telhado de telha ondulada de fibrocimento esp. 6mm, com pontaletes e caibros, inclusive tratamento com cupinicida, exclusive telhas</t>
  </si>
  <si>
    <t>Rufo de chapa metálica nº 26 com largura de 30 cm</t>
  </si>
  <si>
    <t>Calha de concreto armado Fck=15 MPa em "U" nas dimensões de 38 x 56 cm conforme detalhes em projeto</t>
  </si>
  <si>
    <t>4.1</t>
  </si>
  <si>
    <t>4.2</t>
  </si>
  <si>
    <t>4.4</t>
  </si>
  <si>
    <t>Impermeabilização com argamassa de igol 2 - marca de referência Sika</t>
  </si>
  <si>
    <t>5</t>
  </si>
  <si>
    <t>PAREDES E PAINEIS</t>
  </si>
  <si>
    <t>5.1</t>
  </si>
  <si>
    <t>ALVENARIA</t>
  </si>
  <si>
    <t>Platibanda de alvenaria de bloco cerâmico 10x20x20cm, assentado com argamassa de cimento, cal hidratada CH1 e areia no traço 1:0,5:8, amarrada com pilaretes em conc. arm. a cada 2m (H=1.0m), excl. revest.</t>
  </si>
  <si>
    <t>SUBTOTAL 05</t>
  </si>
  <si>
    <t>PLATIBANDA</t>
  </si>
  <si>
    <t>7</t>
  </si>
  <si>
    <t>VERGA/CONTRAVERGA</t>
  </si>
  <si>
    <t>Verga/contraverga reta de concreto armado 10 x 5 cm, Fck = 15 MPa, inclusive forma, armação e desforma</t>
  </si>
  <si>
    <t>7.1</t>
  </si>
  <si>
    <t>SUBTOTAL 06</t>
  </si>
  <si>
    <t>SUBTOTAL 07</t>
  </si>
  <si>
    <t>Cobertura nova de telhas de alumínio trapezoidal, H = 8 cm, esp. 0.5mm, inclusive acessórios de fixação</t>
  </si>
  <si>
    <t>REVESTIMENTO</t>
  </si>
  <si>
    <t>TETOS, FORROS E PAREDES</t>
  </si>
  <si>
    <t>Chapisco de argamassa de cimento e areia média ou grossa lavada, no traço 1:3, espessura 5 mm</t>
  </si>
  <si>
    <r>
      <t>Unidade:</t>
    </r>
    <r>
      <rPr>
        <sz val="11"/>
        <color theme="1"/>
        <rFont val="Calibri"/>
        <family val="2"/>
        <scheme val="minor"/>
      </rPr>
      <t> und</t>
    </r>
  </si>
  <si>
    <r>
      <t>Base:</t>
    </r>
    <r>
      <rPr>
        <sz val="11"/>
        <color theme="1"/>
        <rFont val="Calibri"/>
        <family val="2"/>
        <scheme val="minor"/>
      </rPr>
      <t> LABOR</t>
    </r>
  </si>
  <si>
    <t>AJUDANTE</t>
  </si>
  <si>
    <t>ELETRICISTA</t>
  </si>
  <si>
    <t>CAIXA PVC 4" X 4" TIGREFLEX</t>
  </si>
  <si>
    <t>CABO UTP 4 PARES CAT 5E</t>
  </si>
  <si>
    <r>
      <t>Serviço:</t>
    </r>
    <r>
      <rPr>
        <sz val="11"/>
        <color theme="1"/>
        <rFont val="Calibri"/>
        <family val="2"/>
        <scheme val="minor"/>
      </rPr>
      <t> Ponto para rede lógica em caixa de pvc amarela 4x2", com conector RJ-45 fêmea e caixa 4x4" PVC amarela</t>
    </r>
  </si>
  <si>
    <t>COMPOSIÇÃO 01</t>
  </si>
  <si>
    <t>COMP-01</t>
  </si>
  <si>
    <t>Ponto para rede lógica em caixa de pvc amarela 4x2", com conector RJ-45 fêmea e caixa 4x4" PVC amarela</t>
  </si>
  <si>
    <r>
      <t>Unidade:</t>
    </r>
    <r>
      <rPr>
        <sz val="11"/>
        <color theme="1"/>
        <rFont val="Calibri"/>
        <family val="2"/>
        <scheme val="minor"/>
      </rPr>
      <t> pt</t>
    </r>
  </si>
  <si>
    <r>
      <t>Código Base:</t>
    </r>
    <r>
      <rPr>
        <sz val="11"/>
        <color theme="1"/>
        <rFont val="Calibri"/>
        <family val="2"/>
        <scheme val="minor"/>
      </rPr>
      <t> 160101</t>
    </r>
  </si>
  <si>
    <r>
      <t>Serviço:</t>
    </r>
    <r>
      <rPr>
        <sz val="11"/>
        <color theme="1"/>
        <rFont val="Calibri"/>
        <family val="2"/>
        <scheme val="minor"/>
      </rPr>
      <t> Ponto de telefone</t>
    </r>
  </si>
  <si>
    <t>Ponto de telefone</t>
  </si>
  <si>
    <t>COMP-02</t>
  </si>
  <si>
    <t>Caixa para telefone padrão TELEMAR, dim. 1070 x 520 x 500 mm, com tampa de ferro tipo R2, assentada com argamassa de cimento, cal e areia</t>
  </si>
  <si>
    <t>5.2</t>
  </si>
  <si>
    <t>5.3</t>
  </si>
  <si>
    <t>5.4</t>
  </si>
  <si>
    <t>Raspagem e limpeza do terreno (manual)</t>
  </si>
  <si>
    <t>LAJE</t>
  </si>
  <si>
    <t>Laje pré-moldada, sobrecarga 300 Kg/m2, vão de 5.0m a 5.7m, capeamento 4cm, esp. 16cm, Fck = 150 Kg/cm2</t>
  </si>
  <si>
    <t>Alvenaria de blocos cerâmicos 10 furos 10x20x20cm, assentados c/argamassa de cimento, cal hidratada CH1 e areia traço 1:0,5:8, juntas 12mm e esp. das paredes s/revestimento, 10cm (bloco comprado na praça de Vitória, posto obra)</t>
  </si>
  <si>
    <t>Alvenaria de blocos cerâmicos 10 furos 10x20x20cm, assentados c/argamassa de cimento, cal hidratada CH1 e areia traço 1:0.5:8, juntas 12mm e espessura das paredes, s/ revestimento, 20cm(bloco comprado praça de Vitória, posto obra)</t>
  </si>
  <si>
    <t>6.1</t>
  </si>
  <si>
    <r>
      <t xml:space="preserve">A1 = 3,09 x 1,75 = 5,41m²
A2 = (5,50 x 2,56)/2 = 7,04m²
A3 = 9,68 x 8,77 = 84,89m²
A4 = 5,50 x 6,23 = 34,27m²
A5 = 5,22 x 22,30 = 116,41m²
A6 = 3,22 x 12,71 = 40,93m²
A7 = 5,15 x 9,06 = 46,66m²
A8 = 3,65 x 2,00 = 7,30
Total Geral = </t>
    </r>
    <r>
      <rPr>
        <b/>
        <sz val="8"/>
        <color theme="1"/>
        <rFont val="Arial"/>
        <family val="2"/>
      </rPr>
      <t>342,91m²</t>
    </r>
  </si>
  <si>
    <t>ESQUADRIAS</t>
  </si>
  <si>
    <t>071701</t>
  </si>
  <si>
    <t>Janela de correr para vidro em alumínio anodizado cor natural, linha 25, completa, incl. puxador com tranca, alizar, caixilho e contramarco, exclusive vidro</t>
  </si>
  <si>
    <t>8.2</t>
  </si>
  <si>
    <t>071702</t>
  </si>
  <si>
    <t>Báscula para vidro em alumínio anodizado cor natural, linha 25, completa, com tranca, caixilho, alizar e contramarco, exclusive vidro</t>
  </si>
  <si>
    <t>8.3</t>
  </si>
  <si>
    <t>071703</t>
  </si>
  <si>
    <t>Janela tipo maximo-ar para vidro em alumínio anodizado natural, linha 25, completa, incl. puxador com tranca, caixilho, alizar e contramarco, exclusive vidro.</t>
  </si>
  <si>
    <t>071704</t>
  </si>
  <si>
    <t>061302</t>
  </si>
  <si>
    <t>Porta em madeira de lei tipo angelim pedra ou equiv.c/enchimento em madeira 1a.qualidade esp. 30mm p/ pintura, inclusive alizares, dobradiças e fechadura externa em latão cromado LaFonte ou equiv., exclusive marco, nas dim.: 0.70 x 2.10 m</t>
  </si>
  <si>
    <t>061303</t>
  </si>
  <si>
    <t>Porta em madeira de lei tipo angelim pedra ou equiv.c/enchimento em madeira 1a.qualidade esp. 30mm p/ pintura, inclusive alizares, dobradiças e fechadura externa em latão cromado LaFonte ou equiv., exclusive marco, nas dim.: 0.80 x 2.10 m</t>
  </si>
  <si>
    <t>061301</t>
  </si>
  <si>
    <t>Porta em madeira de lei tipo angelim pedra ou equiv.c/enchimento em madeira 1a.qualidade esp. 30mm p/ pintura, inclusive alizares, dobradiças e fechadura externa em latão cromado LaFonte ou equiv., exclusive marco, nas dim.:0.60 x 2.10 m</t>
  </si>
  <si>
    <t>060101</t>
  </si>
  <si>
    <t>Marco de madeira de lei de 1ª (Peroba, Ipê, Angelim Pedra ou equivalente) com 15x3 cm de batente, nas dimensões de 0.60 x 2.10 m</t>
  </si>
  <si>
    <t>060102</t>
  </si>
  <si>
    <t>Marco de madeira de lei de 1ª (Peroba, Ipê, Angelim Pedra ou equivalente) com 15x3 cm de batente, nas dimensões de 0.70 x 2.10 m</t>
  </si>
  <si>
    <t>060103</t>
  </si>
  <si>
    <t>Marco de madeira de lei de 1ª (Peroba, Ipê, Angelim Pedra ou equivalente) com 15x3 cm de batente, nas dimensões de 0.80 x 2.10 m</t>
  </si>
  <si>
    <t>080102</t>
  </si>
  <si>
    <t>Vidro plano transparente liso, com 4 mm de espessura</t>
  </si>
  <si>
    <t>080103</t>
  </si>
  <si>
    <t>Vidro fantasia mini-boreal, com 4 mm de espessura</t>
  </si>
  <si>
    <t>7.2</t>
  </si>
  <si>
    <t>7.3</t>
  </si>
  <si>
    <t>7.4</t>
  </si>
  <si>
    <t>7.5</t>
  </si>
  <si>
    <t>7.6</t>
  </si>
  <si>
    <t>8</t>
  </si>
  <si>
    <t>MADEIRA</t>
  </si>
  <si>
    <t>METÁLICAS</t>
  </si>
  <si>
    <t>VIDROS E ESPELHOS</t>
  </si>
  <si>
    <t>Emboço de argamassa de cimento, cal hidratada CH1 e areia lavada traço 1:0.5:6, espessura 20 mm</t>
  </si>
  <si>
    <t>ACABAMENTO</t>
  </si>
  <si>
    <t>Azulejo branco 15 x 15 cm, juntas a prumo, assentado com argamassa de cimento colante, inclusive rejuntamento com cimento branco, marcas de referência Eliane, Cecrisa ou Portobello</t>
  </si>
  <si>
    <t>9.1.1</t>
  </si>
  <si>
    <t>9.1.2</t>
  </si>
  <si>
    <t>9.1.3</t>
  </si>
  <si>
    <t>9.2.1</t>
  </si>
  <si>
    <t>SUBTOTAL 09</t>
  </si>
  <si>
    <t>PISO</t>
  </si>
  <si>
    <t>INSTALAÇÕES HIDROSANITÁRIAS</t>
  </si>
  <si>
    <t>ÁGUA</t>
  </si>
  <si>
    <t>140201</t>
  </si>
  <si>
    <t>Padrão de entrada d' água com cavalete de PVC para hidrômetro com diâmetro de 3/4" - padrão 1C da CESAN. Instalado em vão de muro protegido com gradeamento. Inclusive base de concreto magro, tubulação, conexões e registro. Conferir detalhe.</t>
  </si>
  <si>
    <t>140703</t>
  </si>
  <si>
    <t>Ponto de torneira de jardim (para praças)</t>
  </si>
  <si>
    <t>pt</t>
  </si>
  <si>
    <t>Tubo de PVC rígido soldável marrom, diâm. 25mm (3/4"), inclusive conexões</t>
  </si>
  <si>
    <t>Tubo de PVC rígido soldável marrom, diâm. 50mm (11/2"), inclusive conexões</t>
  </si>
  <si>
    <t>Ponto de água fria (lavatório, tanque, pia de cozinha, etc...)</t>
  </si>
  <si>
    <t>Bebebedouro elétrico de pressão para portadores de necessidades especiais IBBL BDF300 ou equivalente</t>
  </si>
  <si>
    <t>Bebedouro de aço inox, marcas de referência Fisher, Metalpress ou Mekal, inclusive válvula, sifão cromado e torneiras, exclusive alvenaria, dim. 0.45x2.75 m, conforme detalhe em projeto</t>
  </si>
  <si>
    <t>Tanque de aço inox nº 2, marcas de referência Fisher, Metalpress ou Mekal, inclusive válvula de metal e sifão</t>
  </si>
  <si>
    <t>Pia em aço inox com 01 cuba nº 1, dimensões de 0.60 x 1.50m, inclusive válvula tipo americana, exclusive sifão</t>
  </si>
  <si>
    <t>Sifão em PVC para pia de cozinha ou lavatório 1x11/2"</t>
  </si>
  <si>
    <t>Cuba louça de embutir completa, marcas de referência Deca, Celite ou Ideal Standard, incl. válvula e sifão, exclusive torneira</t>
  </si>
  <si>
    <t>Bancada de granito com espessura de 2 cm</t>
  </si>
  <si>
    <t>Registro de gaveta bruto diam. 50mm (2")</t>
  </si>
  <si>
    <t>Registro de gaveta bruto diam. 25mm (1")</t>
  </si>
  <si>
    <t>Torneira de jardim cromada 3/4" ou 1/2"</t>
  </si>
  <si>
    <t>Torneira pressão cromada diâm. 1/2" para lavatório, marcas de referência Fabrimar, Deca ou Docol</t>
  </si>
  <si>
    <t>Torneira pressão cromada diam. 1/2" para pia, marcas de referência Fabrimar, Deca ou Docol</t>
  </si>
  <si>
    <t>Torneira para tanque, marcas de referência Fabrimar, Deca ou Docol</t>
  </si>
  <si>
    <t>Papeleira de parede em metal cromado sem tampa</t>
  </si>
  <si>
    <t>Saboneteira de sobrepor (fixada na parede), tipo concha, em aço inoxidável- fornecimento e instalação</t>
  </si>
  <si>
    <t>Ducha manual Acqua jet , linha Aquarius, com registro ref.C 2195, marcas de referência Fabrimar, Deca ou Docol</t>
  </si>
  <si>
    <t>Hidrometro 5,00m3/h, D=3/4" - fornecimento e instalação</t>
  </si>
  <si>
    <t>ESGOTO</t>
  </si>
  <si>
    <t>141101</t>
  </si>
  <si>
    <t>Caixas de inspeção de alv. blocos concreto 9x19x39cm, dim, 60x60cm e Hmáx = 1m, com tampa de conc. esp. 5cm, lastro de conc. esp. 10cm, revest intern. c/ chapisco e reboco impermeabilizado, incl. escavação, reaterro e enchimento</t>
  </si>
  <si>
    <t>Tubo de PVC rígido soldável branco, para esgoto, diâmetro 40mm (1 1/2"), inclusive conexões</t>
  </si>
  <si>
    <t>Tubo de PVC rígido soldável branco, para esgoto, diâmetro 50mm (2"), inclusive conexões</t>
  </si>
  <si>
    <t>Tubo de PVC rígido soldável branco, para esgoto, diâmetro 100mm (4"), inclusive conexões</t>
  </si>
  <si>
    <t>Tubo de PVC rígido soldável branco, para esgoto, diâmetro 150mm (6"), inclusive conexões</t>
  </si>
  <si>
    <t>Ponto de válvula de descarga, inclusive válvula anti-vandalismo com acabamento cromado, marca de referência Docol Mod. 01505006</t>
  </si>
  <si>
    <t>Ponto para esgoto primário (vaso sanitário)</t>
  </si>
  <si>
    <t>Ponto para esgoto secundário (pia, lavatório, mictório, tanque, bidê, etc...)</t>
  </si>
  <si>
    <t>Vaso sanitário padrão popular completo com acessórios para ligação, marcas de referência Deca, Celite ou Ideal Standard, inclusive assento plástico</t>
  </si>
  <si>
    <t>Bacia sifonada de louça branca para portadores de necessidades especiais, Vogue Plus Conforto - Linha Conforto, mod P51, incl. assento com abertura frontal, ref.AP52,marca de ref. Deca ou equivalente</t>
  </si>
  <si>
    <t>Bacia sanitária de louça branca, com caixa acoplada duplo acionamento, marca de ref. Deca Linha Ravena ou equivalente, inclusive assento plástico e acessórios de fixação</t>
  </si>
  <si>
    <t>Ponto para caixa sifonada, inclusive caixa sifonada pvc 150x150x50mm com grelha em pvc</t>
  </si>
  <si>
    <t>41241</t>
  </si>
  <si>
    <t>Caixa ralo em blocos pré-moldados e grelha articulada em FFA em 
Vias Urbanas</t>
  </si>
  <si>
    <t>12.1</t>
  </si>
  <si>
    <t>LOUÇAS, METAIS E COMPLEMENTARES</t>
  </si>
  <si>
    <t>ELEMENTOS DECORATIVOS E OUTROS</t>
  </si>
  <si>
    <t>BANCADA</t>
  </si>
  <si>
    <t>12.1.1</t>
  </si>
  <si>
    <t>12.2</t>
  </si>
  <si>
    <t>12.2.1</t>
  </si>
  <si>
    <t>12.2.2</t>
  </si>
  <si>
    <t>12.3</t>
  </si>
  <si>
    <t>12.3.1</t>
  </si>
  <si>
    <t>SUBTOTAL 12</t>
  </si>
  <si>
    <t>13</t>
  </si>
  <si>
    <t>INSTALAÇÕES ELÉTRICAS</t>
  </si>
  <si>
    <t>13.1</t>
  </si>
  <si>
    <t>PONTOS, QUADROS E CMPLEMENTOS</t>
  </si>
  <si>
    <t>13.2</t>
  </si>
  <si>
    <t>APARELHOS ELÉTRICOS</t>
  </si>
  <si>
    <t>14</t>
  </si>
  <si>
    <t>OUTRAS INSTALAÇÕES</t>
  </si>
  <si>
    <t>INSTALAÇÕES LÓGICA E TELEFONE</t>
  </si>
  <si>
    <t>14.1</t>
  </si>
  <si>
    <t>14.1.1</t>
  </si>
  <si>
    <t>14.1.2</t>
  </si>
  <si>
    <t>14.1.3</t>
  </si>
  <si>
    <t>14.1.4</t>
  </si>
  <si>
    <t>14.1.5</t>
  </si>
  <si>
    <t>SUBTOTAL 14</t>
  </si>
  <si>
    <t>14.2</t>
  </si>
  <si>
    <t>INSTALAÇÕES PÁRA-RAIO</t>
  </si>
  <si>
    <t>INSTALAÇÕES INCÊNDIO</t>
  </si>
  <si>
    <t>15</t>
  </si>
  <si>
    <t>PINTURA</t>
  </si>
  <si>
    <t>16.1</t>
  </si>
  <si>
    <t>17.1</t>
  </si>
  <si>
    <t>17.2</t>
  </si>
  <si>
    <t>SUBTOTAL 17</t>
  </si>
  <si>
    <t>Derivação ramal entrada, incl. mureta rev.c/ chap. e reb. c/ arg. de cimento, cal e areia traço 1:0,5:6, c/ quadros de medição, de transformador de corrente, chave geral tripolar, disjuntores, eletrodutos e cabos conf. det.</t>
  </si>
  <si>
    <t>Padrão de entrada de energia elétrica, trifásico, entrada subterrânea, a 4 fios, carga instalada de 57001 até 75000W, instalada em muro</t>
  </si>
  <si>
    <t>Caixa de passagem de alvenaria de blocos de concreto 9x19x39cm, dimensões de 50x50x50cm, com revestimento interno em chapisco e reboco, tampa de concreto esp.5cm e lastro de brita 5 cm</t>
  </si>
  <si>
    <t>Ponto padrão de luz no teto - considerando eletroduto PVC rígido de 3/4" inclusive conexões (4.5m), fio isolado PVC de 2.5mm2 (16.2m) e caixa estampada 4x4" (1 und)</t>
  </si>
  <si>
    <t>Ponto padrão de luz na parede - considerando eletroduto PVC rígido de 3/4" inclusive conexões (4.5m), fio isolado PVC de 2.5mm2 (16.2m) e caixa estampada 4x4" (1 und)</t>
  </si>
  <si>
    <t>Ponto padrão de tomada para ar refrigerado - considerando eletroduto PVC rígido de 3/4" inclusive conexões (6.0m), fio isolado PVC de 4.0mm2 (21.6m) e caixa estampada 4x2" (1 und)</t>
  </si>
  <si>
    <t>Ponto padrão de interruptor de 2 teclas simples - considerando eletroduto PVC rígido de 3/4" inclusive conexões (3.3m), fio isolado PVC de 2.5mm2 (17.2m) e caixa estampada 4x2" (1 und)</t>
  </si>
  <si>
    <t xml:space="preserve">Ponto padrão de interruptor de 1 tecla paralelo - considerando eletroduto PVC rígido de 3/4" inclusive conexões (8.5m), fio isolado PVC de 2.5mm2 (28.8m) e caixa estampada 4x2" (1 und) </t>
  </si>
  <si>
    <t>Ponto padrão de interruptor de 1 tecla intermediário - considerando eletroduto PVC rígido de 3/4" inclusive conexões (3.3m), fio isolado PVC de 2.5mm2 (15.8m) e caixa estampada 4x2" (1 und)</t>
  </si>
  <si>
    <t>Ponto padrão de tomada 2 pólos mais terra - considerando eletroduto PVC rígido de 3/4" inclusive conexões (5.0m), fio isolado PVC de 2.5mm2 (16.5m) e caixa estampada 4x2" (1 und)</t>
  </si>
  <si>
    <t>Ponto padrão de poste para iluminação externa - considerando eletroduto PVC rígido de 3/4" inclusive conexões (7.7m) e fio isolado PVC de 2.5mm2 (25.2.0m)</t>
  </si>
  <si>
    <t>Ponto para iluminação de emergência completo, inclusive bloco autônomo de iluminação 2x9W com tomada universal</t>
  </si>
  <si>
    <t>Poste de iluminação urbana com luminária tipo chapeú chinês</t>
  </si>
  <si>
    <t>Luminária cilíndrica embutir,p/1 lâmp.fluor.compacta 26W,corpo ch.aço fosfotizada,pintada eletrostaticamente,refletor repuxado alum.anodizado,difusor vidro temperado,centro jateado,ref.EF06-E126 VJC Lumicenter ou equ.</t>
  </si>
  <si>
    <t>Refletor retangular fechado com lampada vapor metalico 400w</t>
  </si>
  <si>
    <t>Quadro de distribuição de energia, de embutir, com 12 divisões modulares com barramento</t>
  </si>
  <si>
    <t>Quadro distrib. energia, embutido ou semi embutido, capac. p/ 34 disj. DIN, c/barram trif. 150A barra. neutro e terra, fab. em chapa de aço 12 USG com porta, espelho, trinco com fechad ch yale, Ref. QDETG II-34DIN-CEMAR ou equiv.</t>
  </si>
  <si>
    <t>Arandela com lâmpada incandescente de 100W</t>
  </si>
  <si>
    <t>Interruptor de uma tecla simples 10A/250V, com placa 4x2"</t>
  </si>
  <si>
    <t>Interruptor de duas teclas simples 10A/250V, com placa 4x2"</t>
  </si>
  <si>
    <t>Interruptor de uma tecla paralelo 10A/250V, com placa 4x2"</t>
  </si>
  <si>
    <t>Tomada padrão brasileiro linha branca, NBR 14136 3 polos 20A/250V, com placa 4x2"</t>
  </si>
  <si>
    <t>Fornecimento e plantio de grama em placas tipo esmeralda, inclusive fornecimento de terra vegetal</t>
  </si>
  <si>
    <t>Quadro de distribuição para telefone n.3, 40x40x12cm em chapa metalica, de embutir, sem acessorios, padrao telebras, fornceciento e instalação.</t>
  </si>
  <si>
    <t>Caixa enterrada para instalações telefonicas tipo R1 0,60x0,35x0,50m e blocos de concreto estrutural</t>
  </si>
  <si>
    <t>Passeio em concreto, largura 2,00m, acabamento em ladrilho hidráulico podotátil (L=0,40m)</t>
  </si>
  <si>
    <t>Banco de concreto armado aparente com apoios de alvenaria assentada com argamassa de cimento, cal e areia, largura de 0,50m e espessura de 0,05m</t>
  </si>
  <si>
    <t>Escada tipo marinheiro de tubo de ferro 1" e 3/4", com h=4.20m, para acesso a caixa d'água, inclusive pintura em esmalte sintético, conforme detalhe em projeto</t>
  </si>
  <si>
    <t>Conjunto de 03 mastros, para bandeira, em ferro galvanizado, 2 com 7,50m de altura e 1 com 9,0m de altura, nos diâmetros de 4", 3" e 2", inclusive base de concreto, conf. detalhe de projeto</t>
  </si>
  <si>
    <t>Placa de sinalização de segurança CODIGO 14 - 315/158(NBR 13.434); CÓDIGO S3(NT 14/2010-ES) ("SAIDA DE EMERGÊNCIA" - seta vertical)</t>
  </si>
  <si>
    <t>Extintor de incêndio de água pressurizada capacidade 2A (10L), inclusive suporte para fixação e EXCLUSIVE placa sinalizadora em PVC Fotoluminescente</t>
  </si>
  <si>
    <t>Extintor de incêndio portátil de pó químico ABC com capacidade 2A-20B:C (6 kg), inclusive suporte para fixação, EXCLUSIVE placa sinalizadora em PVC fotoluminescente</t>
  </si>
  <si>
    <t>Reservatório de fibra de vidro 3000 litros, inclusive peça de apoio de 6x16 cm, exclusive flanges e torneira de bóia</t>
  </si>
  <si>
    <t>Torneira de bóia de PVC, diâm. 1" (25mm)</t>
  </si>
  <si>
    <t>Adaptador de PVC soldável com flanges livres para caixa d'água, diâmetro 50mm (1 1/2")</t>
  </si>
  <si>
    <t>SUBTOTAL 13</t>
  </si>
  <si>
    <t>Pára-raios tipo franklim incluindo base de fixação, conjunto de contraventagem c/abraçadeira p/3 estais em tubo e demais acessórios c/exceção do cabo de cobre de descida e suportes isoladores</t>
  </si>
  <si>
    <t>16.2</t>
  </si>
  <si>
    <t>DIVERSOS</t>
  </si>
  <si>
    <t>VEGETAÇÃO</t>
  </si>
  <si>
    <t>17.1.1</t>
  </si>
  <si>
    <t>17.1.2</t>
  </si>
  <si>
    <t>17.2.1</t>
  </si>
  <si>
    <t>Mini espada de São Jorge</t>
  </si>
  <si>
    <t>Cicas</t>
  </si>
  <si>
    <t>Agave</t>
  </si>
  <si>
    <t>Palmeira Imperial</t>
  </si>
  <si>
    <t>Caizuca</t>
  </si>
  <si>
    <t>Ixora-chinesa (vermelha)</t>
  </si>
  <si>
    <t>Ixora-chinesa (Branca)</t>
  </si>
  <si>
    <t>Petunia</t>
  </si>
  <si>
    <t>Fio ou cabo de cobre termoplástico, com isolamento para 750V, seção de 6.0 mm2</t>
  </si>
  <si>
    <t>Fio ou cabo de cobre termoplástico, com isolamento para 750V, seção de 10.0 mm2</t>
  </si>
  <si>
    <t>Fio ou cabo de cobre termoplástico, com isolamento para 750V, seção de 16.0 mm2</t>
  </si>
  <si>
    <t>Cabo de cobre termoplástico, com isolamento para 1000V, seção de 50 mm2</t>
  </si>
  <si>
    <t>Haste de terra tipo COPPERWELD - 5/8" x 2.40m</t>
  </si>
  <si>
    <t>Eletroduto de PVC rígido roscável, diâm. 3" (85mm), inclusive conexões</t>
  </si>
  <si>
    <t>Caixa de passagem em chapa de aço galvanizada 4" x 4", com tampa parafusada</t>
  </si>
  <si>
    <t>Disjunto termomagnetico tripolar padrao nema (americano) 125 a 150A 40V, fornecimento e instalação</t>
  </si>
  <si>
    <t>Mini-Disjuntor tripolar 50 A, curva C - 5KA 220/127VCA (NBR IEC 60947-2), Ref. Siemens, GE, Schneider ou equivalente</t>
  </si>
  <si>
    <t>Mini-Disjuntor monopolar 16 A, curva C - 5KA 220/127VCA (NBR IEC 60947-2), Ref. Siemens, GE, Schneider ou equivalente</t>
  </si>
  <si>
    <t>Mini-Disjuntor monopolar 20 A, curva C - 5KA 220/127VCA (NBR IEC 60947-2), Ref. Siemens, GE, Schneider ou equivalente</t>
  </si>
  <si>
    <t>Mini-Disjuntor monopolar 25 A, curva C - 5KA 220/127VCA (NBR IEC 60947-2), Ref. Siemens, GE, Schneider ou equivalente</t>
  </si>
  <si>
    <t>Mini-Disjuntor monopolar 40 A, curva C - 5KA 220/127VCA (NBR IEC 60947-2), Ref. Siemens, GE, Schneider ou equivalente</t>
  </si>
  <si>
    <t>Mini-Disjuntor bipolar 20 A, curva C - 5KA 220/127VCA (NBR IEC 60947-2), Ref. Siemens, GE, Schneider ou equivalente</t>
  </si>
  <si>
    <t>Mini-Disjuntor bipolar 25 A, curva C - 5KA 220/127VCA (NBR IEC 60947-2), Ref. Siemens, GE, Schneider ou equivalente</t>
  </si>
  <si>
    <t>Mini-Disjuntor bipolar 40 A, curva C - 5KA 220/127VCA (NBR IEC 60947-2), Ref. Siemens, GE, Schneider ou equivalente</t>
  </si>
  <si>
    <t>Extintor de incêndio de gás carbônico CO2 5 B:C (6 Kg), inclusive suporte para fixação, EXCLUSIVE placa sinalizadora em PVC fotoluminescente</t>
  </si>
  <si>
    <t>Guarda corpo de tubo de ferro galvanizado, diâm. 3" e 2", h=0.8 m inclusive pintura a óleo ou esmalte</t>
  </si>
  <si>
    <t>9.1.4</t>
  </si>
  <si>
    <t>Forro de gesso acabamento tipo liso</t>
  </si>
  <si>
    <t>10.1</t>
  </si>
  <si>
    <t>CAMADA DE REGULARIZAÇÃO</t>
  </si>
  <si>
    <t>Lastro de concreto não estrutural, espessura de 6 cm</t>
  </si>
  <si>
    <t>10.2</t>
  </si>
  <si>
    <t>Piso argamassa alta resistência tipo granilite ou equiv de qualidade comprovada, esp de 10mm, com juntas plástica em quadros de 1m, na cor natural, com acabamento polido mecanizado, inclusive regularização e=3.0cm</t>
  </si>
  <si>
    <t>Piso argamassa alta resistência tipo granilite ou equiv de qualidade comprovada, esp de 10mm, com juntas plástica em quadros de 1m, na cor natural, com acabamento anti-derrapante mecanizado, inclusive regularização e=3.0cm</t>
  </si>
  <si>
    <t>SUBTOTAL 10</t>
  </si>
  <si>
    <t>RODAPÉ</t>
  </si>
  <si>
    <t>Rodapé de argamassa de alta resistência tipo granilite ou equivalente de qualidade comprovada, altura de 10 cm e espessura de 10 mm, com cantos boleados, executado com cimento e granitina grana N.1, inclusive polimento</t>
  </si>
  <si>
    <t>14.2.1</t>
  </si>
  <si>
    <t>Aterramento com haste terra 5/8" x 2.40, cabo de cobre nu 6mm2, inclusive caixa de concreto 30 x 30 cm</t>
  </si>
  <si>
    <t>und</t>
  </si>
  <si>
    <t>14.2.3</t>
  </si>
  <si>
    <t>Condutor de cobre nú, seção de 35mm2, inclusive suportes isoladores e acessórios de fixação, conforme projeto</t>
  </si>
  <si>
    <t>15.1</t>
  </si>
  <si>
    <t>Pintura com tinta acrílica Suvinil, Coral ou Metalatex, inclusive selador acrílico, em paredes externas a três demãos</t>
  </si>
  <si>
    <t>m2</t>
  </si>
  <si>
    <t>15.2</t>
  </si>
  <si>
    <t>Pintura com tinta esmalte sintético, marcas de referência Suvinil, Coral ou Metalatex, inclusive selador acrílico, em paredes a três demãos</t>
  </si>
  <si>
    <t>SUBTOTAL 15</t>
  </si>
  <si>
    <t>MEMÓRIA</t>
  </si>
  <si>
    <t>17.2.2</t>
  </si>
  <si>
    <t>17.2.3</t>
  </si>
  <si>
    <t>17.2.4</t>
  </si>
  <si>
    <t>17.2.5</t>
  </si>
  <si>
    <r>
      <t xml:space="preserve">TÉRREO
A = {(7,25 x 6,01) + (15,44 x 14,34) + (3 x 1) + [(1,62 x 3,53) / 2 ] + (5,92 x 7,23) + (1,52 x 1,88) + [(3,88 x 8,27) /2] + [(2,04 x 0,95) / 2]-[(1,71 x 1,71)]} = 330,59m²
PV 01
A = {(22,69 x 6,01) + (7,02 x 3,18) + [(6,82 x 3,18) / 2] + (5,94 x 15,46) - (1,71 x 1,71)} = 258,42m²
PV 02
A = {(6,01 x 22,69) + (7,06 x 8,33) + [(5,15 x 2,37) / 2] + (14,78 x 6,09) + [(0,35 x 0,75) / 2] + [(3,17 + 1,74) x 3,07] / 2 + [(5,32 x 2,47) / 2] - 2,92} = 302,62m² 
PV 03
A= (6,10 x 4,4) = 26,84m²
Total Geral = </t>
    </r>
    <r>
      <rPr>
        <b/>
        <sz val="8"/>
        <color theme="1"/>
        <rFont val="Arial"/>
        <family val="2"/>
      </rPr>
      <t xml:space="preserve">918,47 m² </t>
    </r>
    <r>
      <rPr>
        <sz val="8"/>
        <color theme="1"/>
        <rFont val="Arial"/>
        <family val="2"/>
      </rPr>
      <t xml:space="preserve"> </t>
    </r>
  </si>
  <si>
    <r>
      <t xml:space="preserve">C = 9,56 + 1,65 + 15,64 + 5,13 + 22,82 + 6,10 + 3,65 + 3,15 + 3,50 + 5,30 + 9,45 + 11,63 = 97,58m
Total Geral = </t>
    </r>
    <r>
      <rPr>
        <b/>
        <sz val="8"/>
        <color theme="1"/>
        <rFont val="Calibri"/>
        <family val="2"/>
        <scheme val="minor"/>
      </rPr>
      <t>97,58m</t>
    </r>
  </si>
  <si>
    <r>
      <t xml:space="preserve">TERREO
A = (9,45 + 5,30 + 3,50 + 3,15 + 3,65 + 6,05 + 22,76 + 5,11 + 15,60 + 7,36 + 11,48 + 3,70 + 1,65) x 0,70 = 69,13m²
PV01
Sala 1 = (7,91 + 5,55) x 2 x 2,75 - 2 x (0,80 x 2,10 ) - (2,00 x 1,45) - (0,70 x 2,10) = 66,30m²
Banheiro = (2,00+1,50) x 2 x 2,75 -(0,70 x 2,10) - (0,65 x 0,65) = 17,36m² 
Sala 2 = (7,15 + 5,55) x 2 x 2,75 - (0,80 x 2,10 ) - 1,00 x 2,10 - 2,00 x 1,45 = 66,30m²
Sala 3 = (4,00 + 3,50) x 2 x 2,75 - 2 x (0,80 x 2,10 ) - (2,00 x 1,45) = 34,99m²
Cozinha = (2,21 + 0,77 + 2,44 + 1,80) x 2,75 - (0,80 x 2,10) - (0,50 x 0,75) = 17,80m²
2 Banheiros = ((2,21 + 4,00) x 2 x 2,75 - (1,50 x 0,75) - (0,80 x 2,10) x 2) = 62,70m² 
2 Banheiros P.D.F.= ((1,50 + 2,35) x 2 x 2,75 - (0,70 x 0,70) - (0,90 x 2,10) x 2) = 37,59m² 
Sala 4 = (3,50 + 4,00) x 2 x 2,75 - (0,80 x 2,10) - (2,00 x 1,45) = 36,67m² 
Sala 5 = (3,50 + 4,00) x 2 x 2,75 - (0,80 x 2,10) - (2,00 x 1,45) = 36,67m² 
Sala 6 = (2,50 + 4,00) x 2 x 2,75 - (0,80 x 2,10) - (2,00 x 1,45) = 31,17m² 
Sala 7 = (5,55 + 4,40) x 2 x 2,75 - (0,80 x 2,10) - (2,00 x 1,45) = 50,15m²
Escada = 3,80 x 2,90 = 11,02m²
Circulação = (15,46 + 1,40 + 2,65 + 0,25 + 0,30 + 2,60 + 2,57 + 0,80 + 0,80 + 0,30 x 4 + 3,28 + 1,00 + 3,52 + 3 x 1,65) - 8 x (0,80 x 2,10) - 2 x (0,90x2,10) - (1,00x2,10) =  21,46m²
PV 02
Sala 8 = (5,55 + 7,91) x 2 x 2,75 - 2x(2,00 x 1,45) -(0,80x2,10) = 66,55m²
Sala 9 = (3,50 + 4,00) x 2 x 2,75 - 2 x (0,80 x 2,10) - (2,00 x 1,45) = 34,99m²
Sala 10 = (3,50 + 4,00) x 2 x 2,75 - 2 x (0,80 x 2,10) - (2,00 x 1,45) = 34,99m²
Sala 11 = (3,50 + 4,00) x 2 x 2,75 - (2,00 x 1,45) - (0,80 x 2,10) = 36,67m²
Sala 12 = (3,50 + 4,00) x 2 x 2,75 - (2,00x1,45) - (0,80x2,10) = 36,67m²
Sala 14 = (5,53 + 7,05) x 2 x 2,75 - (0,80 x 2,10) - 2 x ( 2,00 x 1,45)= 61,71m²
Escada = 3,80 x 2,90 = 11,02 m²
Circulação = ((0,30 x 3) + 1,65 + 2,60 + (12 x 0,30) + 2,57 + 12,81 + (3 x 1,65) + 3,53 + 1,63) x 2,75) - 6 x (0,80 x 2,10) - 2 x ( 0,90 x 2,10) - 1,71= 78,59m²
Rampa = (12,09 x 2,90) = 35,06m²
Elevador = (1,71 + 1,86) x 2 x 8,30 - 2 x (2,30 x 1,71) = 51,40m²
Circulação = (1,40 + 7,30 + 3,79 + 0,41) x 2,75 - 3 x (0,80 x 2,10) = 30,44m²
Dml = (1,80 + 0,77 + 2,21 + 2,43) x 2,75 - (0,50 x 0,75) - (0,80 x 2,10) = 17,77m²
2 Banheiro = ((2,21 + 4,00) x 2 x 2,75 - (0,80 x 2,10) - (1,50 x 0,75)) x 2 = 62,70m²
2 Banheiro P.D.F. = ((1,50 + 2,35) x 2 x 2,75 - (0,90 x 2,10) - (0,70x0,70)) x 2 = 37,59m²
EXTERNO
A =((10 x (0,14 x 0,40) + (7 x 0,30) + (0,50 x 0,15) +2 x  5,95 + 2 x 15,61 + 2 x 5,11 + 2 x 22,76 + 2 x  6,05 + 3,65 +2 x 2,60 + 2 x 2,57 + 3,79 + 1,00) x 2,90) - 16 x (2,00 x 1,45) - 2 x (0,50x0,75) - 4 x (1,50x0,75) - 3 x (0,70x0,70) = 394,62 - 55,72 = 338,90m² 
Total Geral = </t>
    </r>
    <r>
      <rPr>
        <b/>
        <sz val="6"/>
        <color theme="1"/>
        <rFont val="Arial"/>
        <family val="2"/>
      </rPr>
      <t>1494,36m²</t>
    </r>
  </si>
  <si>
    <t>TERREO
A = (9,45 + 5,30 + 3,50 + 3,15 + 3,65 + 6,05 + 22,76 + 5,11 + 15,60 + 7,36 + 11,48 + 3,70 + 1,65) x 0,70 = 69,13m²
PV01
Sala 1 = (7,91 + 5,55) x 2 x 2,75 - 2 x (0,80 x 2,10 ) - (2,00 x 1,45) - (0,70 x 2,10) = 66,30m²
Banheiro = (2,00+1,50) x 2 x 2,75 -(0,70 x 2,10) - (0,65 x 0,65) = 17,36m² 
Sala 2 = (7,15 + 5,55) x 2 x 2,75 - (0,80 x 2,10 ) - 1,00 x 2,10 - 2,00 x 1,45 = 66,30m²
Sala 3 = (4,00 + 3,50) x 2 x 2,75 - 2 x (0,80 x 2,10 ) - (2,00 x 1,45) = 34,99m²
Cozinha = (2,21 + 0,77 + 2,44 + 1,80) x 2,75 - (0,80 x 2,10) - (0,50 x 0,75) = 17,80m²
2 Banheiros = ((2,21 + 4,00) x 2 x 2,75 - (1,50 x 0,75) - (0,80 x 2,10) x 2) = 62,70m² 
2 Banheiros P.D.F.= ((1,50 + 2,35) x 2 x 2,75 - (0,70 x 0,70) - (0,90 x 2,10) x 2) = 37,59m² 
Sala 4 = (3,50 + 4,00) x 2 x 2,75 - (0,80 x 2,10) - (2,00 x 1,45) = 36,67m² 
Sala 5 = (3,50 + 4,00) x 2 x 2,75 - (0,80 x 2,10) - (2,00 x 1,45) = 36,67m² 
Sala 6 = (2,50 + 4,00) x 2 x 2,75 - (0,80 x 2,10) - (2,00 x 1,45) = 31,17m² 
Sala 7 = (5,55 + 4,40) x 2 x 2,75 - (0,80 x 2,10) - (2,00 x 1,45) = 50,15m²
Escada = 3,80 x 2,90 = 11,02m²
Circulação = (15,46 + 1,40 + 2,65 + 0,25 + 0,30 + 2,60 + 2,57 + 0,80 + 0,80 + 0,30 x 4 + 3,28 + 1,00 + 3,52 + 3 x 1,65) - 8 x (0,80 x 2,10) - 2 x (0,90x2,10) - (1,00x2,10) =  21,46m²
PV 02
Sala 8 = (5,55 + 7,91) x 2 x 2,75 - 2x(2,00 x 1,45) -(0,80x2,10) = 66,55m²
Sala 9 = (3,50 + 4,00) x 2 x 2,75 - 2 x (0,80 x 2,10) - (2,00 x 1,45) = 34,99m²
Sala 10 = (3,50 + 4,00) x 2 x 2,75 - 2 x (0,80 x 2,10) - (2,00 x 1,45) = 34,99m²
Sala 11 = (3,50 + 4,00) x 2 x 2,75 - (2,00 x 1,45) - (0,80 x 2,10) = 36,67m²
Sala 12 = (3,50 + 4,00) x 2 x 2,75 - (2,00x1,45) - (0,80x2,10) = 36,67m²
Sala 14 = (5,53 + 7,05) x 2 x 2,75 - (0,80 x 2,10) - 2 x ( 2,00 x 1,45)= 61,71m²
Escada = 3,80 x 2,90 = 11,02 m²
Circulação = ((0,30 x 3) + 1,65 + 2,60 + (12 x 0,30) + 2,57 + 12,81 + (3 x 1,65) + 3,53 + 1,63) x 2,75) - 6 x (0,80 x 2,10) - 2 x ( 0,90 x 2,10) - 1,71= 78,59m²
Rampa = (12,09 x 2,90) = 35,06m²
Elevador = (1,71 + 1,86) x 2 x 8,30 - 2 x (2,30 x 1,71) = 51,40m²
Circulação = (1,40 + 7,30 + 3,79 + 0,41) x 2,75 - 3 x (0,80 x 2,10) = 30,44m²
Dml = (1,80 + 0,77 + 2,21 + 2,43) x 2,75 - (0,50 x 0,75) - (0,80 x 2,10) = 17,77m²
2 Banheiro = ((2,21 + 4,00) x 2 x 2,75 - (0,80 x 2,10) - (1,50 x 0,75)) x 2 = 62,70m²
2 Banheiro P.D.F. = ((1,50 + 2,35) x 2 x 2,75 - (0,90 x 2,10) - (0,70x0,70)) x 2 = 37,59m²
EXTERNO
A =((10 x (0,14 x 0,40) + (7 x 0,30) + (0,50 x 0,15) +2 x  5,95 + 2 x 15,61 + 2 x 5,11 + 2 x 22,76 + 2 x  6,05 + 3,65 +2 x 2,60 + 2 x 2,57 + 3,79 + 1,00) x 2,90) - 16 x (2,00 x 1,45) - 2 x (0,50x0,75) - 4 x (1,50x0,75) - 3 x (0,70x0,70) = 394,62 - 55,72 = 338,90m² 
MENOS AZULEJO
PV 01
Cozinha = (2,21 + 0,77 + 2,44 + 1,80) x 1,50 - (0,80x 1,50) = 9,47m²
Banheiro = (2,21 + 4,00) x 2 x 1,50 - (0,80 x 1,50) = 17,43m²
2 Banheiro P.D.F. = ((1,50 + 2,35) x 2 x 1,50 - (0,90 x 1,50)) x 2 = 20,40m²
Banheiro = (2,21 + 4,00) x 2 x 1,50 - (0,80 x 1,50) = 17,43m²
Banheiro = (2,00 + 1,50) x 2 x 1,50 - (0,70 x 2,10) = 9,03m² 
PV 02
Cozinha = (2,21 + 0,77 + 2,44 + 1,80) x 1,50 - (0,80x 1,50) = 9,47m²
Banheiro = (2,21 + 4,00) x 2 x 1,50 - (0,80 x 1,50) = 17,43m²
2 Banheiro P.D.F. = ((1,50 + 2,35) x 2 x 1,50 - (0,90 x 1,50)) x 2 = 20,40m²
Banheiro = (2,21 + 4,00) x 2 x 1,50 - (0,80 x 1,50) = 17,43m²
Total Geral = 1494,36 - 138,46 = 1355,90m²</t>
  </si>
  <si>
    <r>
      <t xml:space="preserve">PV 01
Sala 01 = (2,00 x 1,50) + (7,91 x 5,55)+ ((0,15x0,70) + 2 x (0,15x0,80)) = 43,90 + 0,35 = 44,25m²
Sala 02 = (5,55 x 7,15) - (4,15 x 3,65) + (0,15x1,00) = 24,53 - 15,5 + 0,15 = 24,68m²
Sala 03 = (3,50 x 4,00) + ( 0,80 x 0,15) = 14,00 + 0,12 = 14,12m²
Sala 04 = (3,50 x 4,00) - (1,85 x 1,85) + (0,80 x 0,15) = 14,00 - 3,42 + 0,12 = 10,70m²
Sala 05 = (4,00 x 3,50) + (0,80 x 0,15) = 14,00 +0,12 = 14,12m²
Sala 06 = (4,00 x 2,50) + (0,80 x 0,15) = 10,00 +0,12 = 10,12m²
Sala 07 = (5,55 x 4,40) + (0,80 x 0,15) = 24,42 +0,12 = 24,54m²
Cozinha = (2,26 x 1,02)/2 + (0,77 x 2,20) + (0,80 x 0,15) = 1,15 + 1,69 + 1,27 = 2,96m²
Banheiro = (2,21 x 4,00) + (0,80 x 0,15) = 8,84 + 0,12 = 8,92m²
2 Banheiro P.D.F. = ((2,35 x 1,50) + (0,90 x 0,15)) x 2 = (3,52 + 0,135 ) x 2 = 7,31m²
Banheiro = (4,00 x 2,20) + (0,80 x 0,15) = 8,83 + 0,12 = 8,96m²
Recepção = 51,51m²
Circulação = 56,54m²
Escada = (16 x 0,30 x 1,32)  + (0,20 x 0,91) + (1,01 x 1,28) + (1,15x 1,32) + (0,17 x 1,32 x 18)= 13,37m²
Rampa = (1,70 x 15,60) x 2 + (1,50 x 3,40) + (1,50 x 8,16) + (8,00 x 2,00)=  86,38m²
PV 02
Sala 08 =  (7,91 x 5,55)+ (0,15x0,80) = 43,90 + 0,12 = 44,02m²
Sala 09 = (3,50 x 4,00) + (0,80 x 0,15) = 14,00 + 0,12 = 14,12m²
Sala 10 = (3,50 x 4,00) + 2 x (0,80 x 0,15) = 14,00 + 0,24 = 14,24m²
Sala 11 = (3,50 x 4,00) - (1,85 x 1,85) + (0,80 x 0,15) = 14,00 - 3,42 + 0,12 = 10,70m²
Sala 12 = (3,50 x 4,00) + (0,80 x 0,15) = 14,00 + 0,12 = 14,12m²
Sala 14 = (7,05 + 5,55) + ( 0,80 x 0,15) = 39,13 + 0,12 = 39,25m²
Circulação = (7,30 x 1,40) = 10,22m²
Dml = ((1,80 + 0,77) x 2,21)/2 + (0,80 x 0,15) = 2,85 + 0,12 = 2,97m²
Banheiro = (4,00 x 2,21) + (0,80 x 0,15) = 8,84 + 0,12 = 8,96m²
2 Banheiro P.D.F = (2,35 x 1,50 + 0,90 x 0,15) x 2 = (3,52 + 0,135) x 2 = 7,32m²
Banheiro = (4,00 x 2,21)  + (0,80 x 0,15) = 8,84 + 0,12 = 8,96m²
Circulação = 56,54m² - (2,65 x 1,40) = 52,83m²
Rampa = (1,70 x 15,60) x 2  + (1,50 x 3,40) = 53,04 + 5,10 = 58,14m²
PV 03
Casa Maquina = (5,86 x 4,00) - (1,86 x 3,64) + (0,70 x 0,15) = 23,44 - 6,77 + 0,105 = 16,56m²
Guarita = (1,50 x 2,00) + (2,00 x 2,00) + (0,60 x 0,15) + (0,70 x 0,15) = 3,00 + 4,00 + 0,09 + 0,11 = 7,20m²
Telefone = (2,10 x 1,67) + (1,40 x 0,15) =3,507 + 0,21 = 3,72m²
Total Geral = </t>
    </r>
    <r>
      <rPr>
        <b/>
        <sz val="7"/>
        <color theme="1"/>
        <rFont val="Arial"/>
        <family val="2"/>
      </rPr>
      <t>691,81m²</t>
    </r>
  </si>
  <si>
    <r>
      <t xml:space="preserve">PV 01
Cozinha = (2,21 + 0,77 + 2,44 + 1,80) x 1,50 - (0,80x 1,50) = 9,47m²
Banheiro = (2,21 + 4,00) x 2 x 1,50 - (0,80 x 1,50) = 17,43m²
2 Banheiro P.D.F. = ((1,50 + 2,35) x 2 x 1,50 - (0,90 x 1,50)) x 2 = 20,40m²
Banheiro = (2,21 + 4,00) x 2 x 1,50 - (0,80 x 1,50) = 17,43m²
Banheiro = (2,00 + 1,50) x 2 x 1,50 - (0,70 x 2,10) = 9,03m² 
PV 02
Cozinha = (2,21 + 0,77 + 2,44 + 1,80) x 1,50 - (0,80x 1,50) = 9,47m²
Banheiro = (2,21 + 4,00) x 2 x 1,50 - (0,80 x 1,50) = 17,43m²
2 Banheiro P.D.F. = ((1,50 + 2,35) x 2 x 1,50 - (0,90 x 1,50)) x 2 = 20,40m²
Banheiro = (2,21 + 4,00) x 2 x 1,50 - (0,80 x 1,50) = 17,43m²
Total Geral </t>
    </r>
    <r>
      <rPr>
        <b/>
        <sz val="8"/>
        <color theme="1"/>
        <rFont val="Calibri"/>
        <family val="2"/>
        <scheme val="minor"/>
      </rPr>
      <t>: 138,46m²</t>
    </r>
  </si>
  <si>
    <r>
      <t>PV 01
Sala 01 = (2,00 x 1,50) + (7,91 x 5,55)+ ((0,15x0,70) + 2 x (0,15x0,80)) = 43,90 + 0,35 = 44,25m²
Sala 02 = (5,55 x 7,15) - (4,15 x 3,65) + (0,15x1,00) = 24,53 - 15,5 + 0,15 = 24,68m²
Sala 03 = (3,50 x 4,00) + ( 0,80 x 0,15) = 14,00 + 0,12 = 14,12m²
Sala 04 = (3,50 x 4,00) - (1,85 x 1,85) + (0,80 x 0,15) = 14,00 - 3,42 + 0,12 = 10,70m²
Sala 05 = (4,00 x 3,50) + (0,80 x 0,15) = 14,00 +0,12 = 14,12m²
Sala 06 = (4,00 x 2,50) + (0,80 x 0,15) = 10,00 +0,12 = 10,12m²
Sala 07 = (5,55 x 4,40) + (0,80 x 0,15) = 24,42 +0,12 = 24,54m²
Cozinha = (2,26 x 1,02)/2 + (0,77 x 2,20) + (0,80 x 0,15) = 1,15 + 1,69 + 1,27 = 2,96m²
Banheiro = (2,21 x 4,00) + (0,80 x 0,15) = 8,84 + 0,12 = 8,92m²
2 Banheiro P.D.F. = ((2,35 x 1,50) + (0,90 x 0,15)) x 2 = (3,52 + 0,135 ) x 2 = 7,31m²
Banheiro = (4,00 x 2,20) + (0,80 x 0,15) = 8,83 + 0,12 = 8,96m²
Recepção = 51,51m²
Circulação = 56,54m²
Escada = (16 x 0,30 x 1,32)  + (0,20 x 0,91) + (1,01 x 1,28) + (1,15x 1,32) + (0,17 x 1,32 x 18)= 13,37m²
Rampa = (1,70 x 15,60) x 2 + (1,50 x 3,40) + (1,50 x 8,16) + (8,00 x 2,00)=  86,38m²
PV 02
Sala 08 =  (7,91 x 5,55)+ (0,15x0,80) = 43,90 + 0,12 = 44,02m²
Sala 09 = (3,50 x 4,00) + (0,80 x 0,15) = 14,00 + 0,12 = 14,12m²
Sala 10 = (3,50 x 4,00) + 2 x (0,80 x 0,15) = 14,00 + 0,24 = 14,24m²
Sala 11 = (3,50 x 4,00) - (1,85 x 1,85) + (0,80 x 0,15) = 14,00 - 3,42 + 0,12 = 10,70m²
Sala 12 = (3,50 x 4,00) + (0,80 x 0,15) = 14,00 + 0,12 = 14,12m²
Sala 14 = (7,05 + 5,55) + ( 0,80 x 0,15) = 39,13 + 0,12 = 39,25m²
Circulação = (7,30 x 1,40) = 10,22m²
Dml = ((1,80 + 0,77) x 2,21)/2 + (0,80 x 0,15) = 2,85 + 0,12 = 2,97m²
Banheiro = (4,00 x 2,21) + (0,80 x 0,15) = 8,84 + 0,12 = 8,96m²
2 Banheiro P.D.F = (2,35 x 1,50 + 0,90 x 0,15) x 2 = (3,52 + 0,135) x 2 = 7,32m²
Banheiro = (4,00 x 2,21)  + (0,80 x 0,15) = 8,84 + 0,12 = 8,96m²
Circulação = 56,54m² - (2,65 x 1,40) = 52,83m²
Rampa = (1,70 x 15,60) x 2  + (1,50 x 3,40) = 53,04 + 5,10 = 58,14m²
PV 03
Casa Maquina = (5,86 x 4,00) - (1,86 x 3,64) + (0,70 x 0,15) = 23,44 - 6,77 + 0,105 = 16,56m²
Guarita = (1,50 x 2,00) + (2,00 x 2,00) + (0,60 x 0,15) + (0,70 x 0,15) = 3,00 + 4,00 + 0,09 + 0,11 = 7,20m²
Telefone = (2,10 x 1,67) + (1,40 x 0,15) =3,507 + 0,21 = 3,72m²
Total Geral =</t>
    </r>
    <r>
      <rPr>
        <b/>
        <sz val="7"/>
        <color theme="1"/>
        <rFont val="Arial"/>
        <family val="2"/>
      </rPr>
      <t xml:space="preserve"> 691,81m²</t>
    </r>
  </si>
  <si>
    <r>
      <t>PV 01
Sala 01 = (2,00 x 1,50) + (7,91 x 5,55)+ ((0,15x0,70) + 2 x (0,15x0,80)) = 43,90 + 0,35 = 44,25m²
Sala 02 = (5,55 x 7,15) - (4,15 x 3,65) + (0,15x1,00) = 24,53 - 15,5 + 0,15 = 24,68m²
Sala 03 = (3,50 x 4,00) + ( 0,80 x 0,15) = 14,00 + 0,12 = 14,12m²
Sala 04 = (3,50 x 4,00) - (1,85 x 1,85) + (0,80 x 0,15) = 14,00 - 3,42 + 0,12 = 10,70m²
Sala 05 = (4,00 x 3,50) + (0,80 x 0,15) = 14,00 +0,12 = 14,12m²
Sala 06 = (4,00 x 2,50) + (0,80 x 0,15) = 10,00 +0,12 = 10,12m²
Sala 07 = (5,55 x 4,40) + (0,80 x 0,15) = 24,42 +0,12 = 24,54m²
Cozinha = (2,26 x 1,02)/2 + (0,77 x 2,20) + (0,80 x 0,15) = 1,15 + 1,69 + 1,27 = 2,96m²
Banheiro = (2,21 x 4,00) + (0,80 x 0,15) = 8,84 + 0,12 = 8,92m²
2 Banheiro P.D.F. = ((2,35 x 1,50) + (0,90 x 0,15)) x 2 = (3,52 + 0,135 ) x 2 = 7,31m²
Banheiro = (4,00 x 2,20) + (0,80 x 0,15) = 8,83 + 0,12 = 8,96m²
Recepção = 51,51m²
Circulação = 56,54m²
PV 02
Sala 08 =  (7,91 x 5,55)+ (0,15x0,80) = 43,90 + 0,12 = 44,02m²
Sala 09 = (3,50 x 4,00) + (0,80 x 0,15) = 14,00 + 0,12 = 14,12m²
Sala 10 = (3,50 x 4,00) + 2 x (0,80 x 0,15) = 14,00 + 0,24 = 14,24m²
Sala 11 = (3,50 x 4,00) - (1,85 x 1,85) + (0,80 x 0,15) = 14,00 - 3,42 + 0,12 = 10,70m²
Sala 12 = (3,50 x 4,00) + (0,80 x 0,15) = 14,00 + 0,12 = 14,12m²
Sala 14 = (7,05 + 5,55) + ( 0,80 x 0,15) = 39,13 + 0,12 = 39,25m²
Circulação = (7,30 x 1,40) = 10,22m²
Dml = ((1,80 + 0,77) x 2,21)/2 + (0,80 x 0,15) = 2,85 + 0,12 = 2,97m²
Banheiro = (4,00 x 2,21) + (0,80 x 0,15) = 8,84 + 0,12 = 8,96m²
2 Banheiro P.D.F = (2,35 x 1,50 + 0,90 x 0,15) x 2 = (3,52 + 0,135) x 2 = 7,32m²
Banheiro = (4,00 x 2,21)  + (0,80 x 0,15) = 8,84 + 0,12 = 8,96m²
Circulação = 56,54m² - (2,65 x 1,40) = 52,83m²
PV 03
Casa Maquina = (5,86 x 4,00) - (1,86 x 3,64) + (0,70 x 0,15) = 23,44 - 6,77 + 0,105 = 16,56m²
Guarita = (1,50 x 2,00) + (2,00 x 2,00) + (0,60 x 0,15) + (0,70 x 0,15) = 3,00 + 4,00 + 0,09 + 0,11 = 7,20m²
Telefone = (2,10 x 1,67) + (1,40 x 0,15) =3,507 + 0,21 = 3,72m²
Total Geral = 278,73m² + 227,71 + 16,56 + 7,20 + 3,72 =</t>
    </r>
    <r>
      <rPr>
        <b/>
        <sz val="7"/>
        <color theme="1"/>
        <rFont val="Arial"/>
        <family val="2"/>
      </rPr>
      <t xml:space="preserve"> 533,92m² </t>
    </r>
  </si>
  <si>
    <r>
      <t xml:space="preserve">PV 01
Escada = (16 x 0,30 x 1,32)  + (0,20 x 0,91) + (1,01 x 1,28) + (1,15x 1,32) + (0,17 x 1,32 x 18)= 13,37m²
Rampa = (1,70 x 15,60) x 2 + (1,50 x 3,40) + (1,50 x 8,16) + (8,00 x 2,00)=  86,38m²
PV 02
Rampa = (1,70 x 15,60) x 2  + (1,50 x 3,40) = 53,04 + 5,10 = 58,14m²
Total Geral = </t>
    </r>
    <r>
      <rPr>
        <b/>
        <sz val="8"/>
        <color theme="1"/>
        <rFont val="Arial"/>
        <family val="2"/>
      </rPr>
      <t>157,89m²</t>
    </r>
  </si>
  <si>
    <r>
      <t xml:space="preserve">PV 01
Sala 01 = 2 x (2,00 + 1,50) + 2 x (7,91 + 5,55) - (0,70) - (2 x 0,80) = 31,62m
Sala 02 = 2 x (5,55 + 7,15) - (1,00) = 24,40m
Sala 03 = 2 x (3,50 + 4,00) - (0,80) = 14,20m
Sala 04 = 2 x (3,50 + 4,00) - (0,80) = 14,20m
Sala 05 = 2 x (4,00 + 3,50) - (0,80) = 14,20m
Sala 06 = 2 x (4,00 + 2,50) - (0,80) = 12,20m
Sala 07 = 2 x (5,55 + 4,40) - (0,80) = 12,10m
Cozinha = (1,80 + 2,21 + 2,44+ 0,77) - 0,80 = 6,42m
Banheiro = 2 x (2,21 + 4,00) - (0,80) = 11,62m
2 Banheiro P.D.F. = ((2,35 + 1,50) - (0,90)) x 2 x 2 = 13,60m
Banheiro = 2 x (4,00 + 2,20) - (0,80) = 11,60m
Recepção e Circulação = (3,28 + 3,60 + 2,57 + 2,60 + 0,30 + 0,25 + 2,65 + 1,40 + 15,46 + 1,65 + 2 x 1,65 + 3,52) - 1,70 - 8 x (0,80) - 1,00 - 2,00 - 2 x 0,90 = 40,58 - 12,90 = 27,68m   
PV 02
Sala 08 = 2 x (7,91+ 5,55) - (0,80) = 26,12m
Sala 09 = 2 x (3,50 + 4,00) - (0,80) = 14,20m
Sala 10 = 2 x (3,50 + 4,00) - 2 x (0,80) = 13,40m
Sala 11 = 2 x (3,50 + 4,00) - (0,80) = 14,20m
Sala 12 = 2 x (3,50 + 4,00) - (0,80) = 14,20m
Sala 14 = 2 x (7,05 + 5,55) - ( 0,80) = 24,40m
Circulação = (3,79 + 1,40 + 7,30) - 3 x 0,80 = 10,09 
Dml = (1,80 + 2,21 + 2,44 + 0,77) - (0,80) = 6,42m
Banheiro = 2 x (4,00 + 2,21) - (0,80) = 11,62m
2 Banheiro P.D.F = 2 x 2 x ((2,35 + 1,50) - 0,90) = 13,60m
Banheiro = 2 x (4,00 + 2,21) - (0,80) = 11,62m
Circulação = (1,66 + 3,52 + 1,65 + 1,65 + 1,65 + 12,81 + 1,65) - 6 x 0,80 - 2 x 0,90 - 1,70 = 16,29m
PV 03
Casa Maquina = 2 x (5,86 + 4,00) - (0,70) = 19,02
Guarita = 2 x (1,50 + 2,00) + 2 x (2,00 + 2,00) - (0,60) - (0,70) = 13,70m 
Total Geral = </t>
    </r>
    <r>
      <rPr>
        <b/>
        <sz val="7"/>
        <color theme="1"/>
        <rFont val="Arial"/>
        <family val="2"/>
      </rPr>
      <t>402,72m</t>
    </r>
  </si>
  <si>
    <r>
      <t>PORTA
A = 3 x (0,80 x 2,10) + (0,70 x  2,10) = 6,51m²
Total Geral =</t>
    </r>
    <r>
      <rPr>
        <b/>
        <sz val="8"/>
        <color theme="1"/>
        <rFont val="Arial"/>
        <family val="2"/>
      </rPr>
      <t xml:space="preserve"> 6,51m²</t>
    </r>
  </si>
  <si>
    <t>ESTAQUEAMENTO</t>
  </si>
  <si>
    <t>LAJE-PRÉMOLDADA</t>
  </si>
  <si>
    <t>Tapume Telha Metálica Ondulada 0,50mm Branca h=2,20m, incl. montagem estr. mad. 8"x8", c/adesivo "IOPES" 60x60cm a cada 10m, incl. faixas pint. esmalte sint. cores azul c/ h=30cm e rosa c/ h=10cm (Reaproveitamento 2x)</t>
  </si>
  <si>
    <t>1.7</t>
  </si>
  <si>
    <t>4.3</t>
  </si>
  <si>
    <t>4</t>
  </si>
  <si>
    <r>
      <t>C = 3,34 + 1,75 + 5,43 + 11,42 + 6,06 + 6,23 + 6,16 + 5,13 + 0,74 + 4,91 + 5,48 + 4,12 + 4,12 + 6,16 + 10,67 + 5,22 + 3,22 + 5,15 + 3,65 + 9,06 = 108,02m  
Total Geral =</t>
    </r>
    <r>
      <rPr>
        <b/>
        <sz val="8"/>
        <color theme="1"/>
        <rFont val="Arial"/>
        <family val="2"/>
      </rPr>
      <t xml:space="preserve"> 108,02m</t>
    </r>
  </si>
  <si>
    <r>
      <t xml:space="preserve">C = 15,18 + 22,30 = 37,48m
Total Geral = </t>
    </r>
    <r>
      <rPr>
        <b/>
        <sz val="8"/>
        <color theme="1"/>
        <rFont val="Arial"/>
        <family val="2"/>
      </rPr>
      <t>37,48m</t>
    </r>
  </si>
  <si>
    <r>
      <t xml:space="preserve">PV 01 
A1 = (1,65 + 2,15 + 15,60) x 2,75 - (0,70 x 2,10) - 6 x (0,40 x 2,75) = 45,28m²
A2 = (5,55 + 4,15 + 3,65 + 5,55 + 1,40) x 2,75 - 3x (0,80x2,10) - 1,00 x 2,10 - 3 x (0,40 x 2,75) - 3x ( 0,20x 2,75) = 43,74m²
A3 = (5,10 + 6,02 + 5x 4,15 + 5,55 + 1,85) x 2,75 - 8x(0,40x2,75) - 6x(0,15 x 2,75) - (0,50x0,75) - 4x( 0,80 x 2,10)= 89,61m²
A4 = (2,21 + 1,50 + 12,30) x 2,75 - 4x (0,14x 2,75) - (0,40x2,75) - 2x(0,90 x 2,10) - 3 x (0,80x2,10)= 36,96m²
A5 = (3,00x2,75) - (2,00x2,50) = 3,25m²
PV 02 
A1 = (12,09 + 5,55 + 2x4,00 + 7,30) x 2,75 - 4x (0,80x2,10)- 5 x (0,40x2,75) - 7 x (0,14x2,75)= 75,67m²
A2 = (5,10 + 2,20 + 6,02) x 2,75 - (0,50 x 0,75) - 2 x (0,80 x 2,10) - (0,40 x 2,75) - (0,14 x 2,75)= 23,15m²
A3 = (4,00 x4,15) + 1,85 + 5,55) x 2,75 - (0,50x0,75) - 2x(0,80x2,10) - (0,40x 2,75) - (0,14x 2,75)= 55,65m²
A4 = ( 1,50 + 1,50 + 9,65) x 2,75 - 2x (0,80x2,10) - 4x (0,14x2,75) = 29,89
PV 03
(4,40 + 2,21 + 2,39)x 3,35 + (3,50 + 1,59) x 2,20 - 2x (0,14x3,35) - (0,40 x 3,35)= 39,07m²
GUARITA
(2,00 + 3,95 + 2,30 + 3,95 + 2,00) x 2,75 - (0,70x2,10) - (0,60x2,10) - (0,80x2,10)- (0,60x0,70) = 34,22m²
RAMPA
(0,50 X 0,15) X 6,50 = 0,49m²
ELEVAÇÃO
(15,60 + 5,10 + 22,76 + 6,05 + 3,65 + 3,15 + 3,50 + 4,85 + 9,14 + 9,56) x 0,70 - 8x (0,40x0,70) - 13x (0,14x0,70) - 2x(0,27 x 0,70)= 54,46m²
Total Geral = </t>
    </r>
    <r>
      <rPr>
        <b/>
        <sz val="7"/>
        <color theme="1"/>
        <rFont val="Arial"/>
        <family val="2"/>
      </rPr>
      <t>531,17m²</t>
    </r>
  </si>
  <si>
    <r>
      <t xml:space="preserve">PV 01
A1 = (15,60 x 2,75) - 4 x (0,14 x 2,75) - 0,40x2,75 - 0,80x2,10 - 4x (2,00x 1,45) = 26,98m²
A2 = (5,95 x 2,75) - (0,14 x 2,75) - (0,40 x 2,75) - (0,65 x 0,65)= 14,45m²
A3 = (22,76 x 2,75) - 8 x (0,14x2,75) - 4 x (2x1,45) - 2x (1,50x0,75) - 2x (0,70x0,70) = 44,68m²
A4 = (6,05 x 2,75) - 2 x (0,40x2,75) = 14,44m²
A5 = (7,45 x 2,75) - 2x (0,14x2,75) - 2 x (0,40x2,75) = 17,52m²
A6 = (3,47 + 2,57) x 2,75 = 16,61m²
PV 02
A1 = (15,60 x 2,75) - 4 x (0,14 x 2,75) - 0,40x2,75 - 4x (2,00x 1,45) = 28,66m²
A2 = (5,95 x 2,75) - (0,14 x 2,75) - (0,40 x 2,75) - (0,65 x 0,65)= 14,45m²
A3 = (22,76 x 2,75) - 8 x (0,14x2,75) - 4 x (2x1,45) - 2x (1,50x0,75) - 2x (0,70x0,70) = 44,68m²
A4 = (6,05 x 2,75) - 2 x (0,40x2,75) = 14,44m²
A5 = (7,45 x 2,75) - 2x (0,14x2,75) - 2 x (0,40x2,75) = 17,52m²
A6 = (3,47 + 2,57) x 2,75 = 16,61m²
PV 03
A1 = (6,15 x 3,35) - 3 x (0,14x2,75) - (1,50x0,75) - (0,70x2,10) = 16,60m²
Total Geral = </t>
    </r>
    <r>
      <rPr>
        <b/>
        <sz val="7"/>
        <color theme="1"/>
        <rFont val="Arial"/>
        <family val="2"/>
      </rPr>
      <t>287,64m²</t>
    </r>
  </si>
  <si>
    <t>10.3</t>
  </si>
  <si>
    <t>13.1.1</t>
  </si>
  <si>
    <t>13.1.2</t>
  </si>
  <si>
    <t>13.1.3</t>
  </si>
  <si>
    <t>13.1.4</t>
  </si>
  <si>
    <t>13.1.5</t>
  </si>
  <si>
    <t>13.1.6</t>
  </si>
  <si>
    <t>13.1.7</t>
  </si>
  <si>
    <t>13.1.8</t>
  </si>
  <si>
    <t>13.1.9</t>
  </si>
  <si>
    <t>13.1.10</t>
  </si>
  <si>
    <t>13.1.11</t>
  </si>
  <si>
    <t>13.1.12</t>
  </si>
  <si>
    <t>13.2.1</t>
  </si>
  <si>
    <t>13.2.2</t>
  </si>
  <si>
    <t>13.2.3</t>
  </si>
  <si>
    <t>13.2.4</t>
  </si>
  <si>
    <t>13.2.5</t>
  </si>
  <si>
    <t>13.2.6</t>
  </si>
  <si>
    <t>13.2.7</t>
  </si>
  <si>
    <t>14.1.6</t>
  </si>
  <si>
    <t>14.1.7</t>
  </si>
  <si>
    <t>14.2.2</t>
  </si>
  <si>
    <r>
      <t xml:space="preserve">C = 13,47 + 1 + 0,55 + 1 + 11,3 + 0,15 + 0,5 + 0,7 + 2,9 + 2,9 + 2,5 + 1,3 + 1,26 + 0,52 + 2,9 + 2,9 + 5,8 + 5,8 + 1,3 + 5,8 + 5,8 + 3 + 3 + 0,6 + 5,8 + 20 + 5,8 + 25,25 + 10,85 + 33,73 + 16,65 + 1,4 + 0,6 + 2,3 * 4 + 0,9 * 4 + 0,6 * 2 + 2 * 2 =  215,03m
Total Geral = </t>
    </r>
    <r>
      <rPr>
        <b/>
        <sz val="8"/>
        <color theme="1"/>
        <rFont val="Arial"/>
        <family val="2"/>
      </rPr>
      <t>215,03m</t>
    </r>
  </si>
  <si>
    <r>
      <t xml:space="preserve">PV 01 - Escada
C = (3,60 x 2 ) + (2,64 x 2) + 2,90 + 0,20 = 15,58m
PV 01 - Rampa  
C = (8,00 x 2,00) = 16,00m
C = (16,93 x 2 ) + (15,70 x 2) + 3,60 + 0,20 = 69,06m
C = 8,19m
Total Geral = </t>
    </r>
    <r>
      <rPr>
        <b/>
        <sz val="8"/>
        <color theme="1"/>
        <rFont val="Arial"/>
        <family val="2"/>
      </rPr>
      <t>108,83m</t>
    </r>
  </si>
  <si>
    <t>Meio-fio de concreto pré-moldado com dimensões de 15x12x30x100 cm , rejuntados com argamassa de cimento e areia no traço 1:3</t>
  </si>
  <si>
    <t>Blocos pré-moldados de concreto tipo pavi-s ou equivalente, 
espessura de 8 cm e resistência a compressão mínima de 35MPa, assentados sobre colchão de pó de pedra na espessura de 10 cm</t>
  </si>
  <si>
    <t>Cotação</t>
  </si>
  <si>
    <t>Mini Espada De São Jorge</t>
  </si>
  <si>
    <t>Muda de palmeira Cica</t>
  </si>
  <si>
    <t>Muda Kaizuca com 1,00 m</t>
  </si>
  <si>
    <t>2.1.1</t>
  </si>
  <si>
    <t>2.1.2</t>
  </si>
  <si>
    <t>2.1.3</t>
  </si>
  <si>
    <t>2.1.4</t>
  </si>
  <si>
    <t>Rede de esgoto, contendo fossa e filtro, inclusive tubos e conexões de ligação entre caixas, considerando distância de 25m, conforme projeto (1 utilização)</t>
  </si>
  <si>
    <t>1.8</t>
  </si>
  <si>
    <t>FUNDAÇÕES PROFUNDAS</t>
  </si>
  <si>
    <t>4.5</t>
  </si>
  <si>
    <t>8.1.1</t>
  </si>
  <si>
    <t>8.1.2</t>
  </si>
  <si>
    <t>8.2.1</t>
  </si>
  <si>
    <t>8.3.1</t>
  </si>
  <si>
    <t>9</t>
  </si>
  <si>
    <t>9.1.5</t>
  </si>
  <si>
    <t>9.1.6</t>
  </si>
  <si>
    <t>9.2.2</t>
  </si>
  <si>
    <t>9.2.3</t>
  </si>
  <si>
    <t>9.2.4</t>
  </si>
  <si>
    <t>9.2.5</t>
  </si>
  <si>
    <t>10</t>
  </si>
  <si>
    <t>11.1</t>
  </si>
  <si>
    <t>11.1.1</t>
  </si>
  <si>
    <t>11.1.2</t>
  </si>
  <si>
    <t>11.1.3</t>
  </si>
  <si>
    <t>11.1.4</t>
  </si>
  <si>
    <t>11.2</t>
  </si>
  <si>
    <t>11.2.1</t>
  </si>
  <si>
    <t>14.1.8</t>
  </si>
  <si>
    <t>14.1.9</t>
  </si>
  <si>
    <t>14.1.10</t>
  </si>
  <si>
    <t>14.1.11</t>
  </si>
  <si>
    <t>14.1.12</t>
  </si>
  <si>
    <t>14.2.4</t>
  </si>
  <si>
    <t>14.2.5</t>
  </si>
  <si>
    <t>14.2.6</t>
  </si>
  <si>
    <t>14.2.7</t>
  </si>
  <si>
    <t>15.1.1</t>
  </si>
  <si>
    <t>15.1.2</t>
  </si>
  <si>
    <t>15.1.3</t>
  </si>
  <si>
    <t>15.1.4</t>
  </si>
  <si>
    <t>15.1.5</t>
  </si>
  <si>
    <t>15.1.6</t>
  </si>
  <si>
    <t>15.1.7</t>
  </si>
  <si>
    <t>15.2.1</t>
  </si>
  <si>
    <t>15.2.2</t>
  </si>
  <si>
    <t>15.2.3</t>
  </si>
  <si>
    <t>16</t>
  </si>
  <si>
    <t>13.2.8</t>
  </si>
  <si>
    <t>13.2.9</t>
  </si>
  <si>
    <t>13.2.10</t>
  </si>
  <si>
    <t>13.2.11</t>
  </si>
  <si>
    <t>13.3</t>
  </si>
  <si>
    <t>13.3.1</t>
  </si>
  <si>
    <t>13.3.2</t>
  </si>
  <si>
    <t>13.3.3</t>
  </si>
  <si>
    <t>13.3.4</t>
  </si>
  <si>
    <t>13.3.5</t>
  </si>
  <si>
    <t>13.3.6</t>
  </si>
  <si>
    <t>13.3.7</t>
  </si>
  <si>
    <t>13.3.8</t>
  </si>
  <si>
    <t>13.3.9</t>
  </si>
  <si>
    <t>13.3.10</t>
  </si>
  <si>
    <t>13.3.11</t>
  </si>
  <si>
    <t>13.3.12</t>
  </si>
  <si>
    <t>13.3.13</t>
  </si>
  <si>
    <t>13.3.14</t>
  </si>
  <si>
    <t>13.3.15</t>
  </si>
  <si>
    <t>14.1.13</t>
  </si>
  <si>
    <t>14.1.14</t>
  </si>
  <si>
    <t>14.1.15</t>
  </si>
  <si>
    <t>14.1.16</t>
  </si>
  <si>
    <t>14.1.17</t>
  </si>
  <si>
    <t>14.1.18</t>
  </si>
  <si>
    <t>14.1.19</t>
  </si>
  <si>
    <t>14.1.20</t>
  </si>
  <si>
    <t>14.1.21</t>
  </si>
  <si>
    <t>14.1.22</t>
  </si>
  <si>
    <t>14.1.23</t>
  </si>
  <si>
    <t>14.1.24</t>
  </si>
  <si>
    <t>14.1.25</t>
  </si>
  <si>
    <t>14.1.26</t>
  </si>
  <si>
    <t>14.1.27</t>
  </si>
  <si>
    <t>14.1.28</t>
  </si>
  <si>
    <t>14.1.29</t>
  </si>
  <si>
    <t>14.1.30</t>
  </si>
  <si>
    <t>14.1.31</t>
  </si>
  <si>
    <t>15.3</t>
  </si>
  <si>
    <t>15.3.1</t>
  </si>
  <si>
    <t>15.3.2</t>
  </si>
  <si>
    <t>15.3.3</t>
  </si>
  <si>
    <t>15.3.4</t>
  </si>
  <si>
    <t>17</t>
  </si>
  <si>
    <t>17.3</t>
  </si>
  <si>
    <t>17.3.1</t>
  </si>
  <si>
    <t>17.3.2</t>
  </si>
  <si>
    <t>17.3.3</t>
  </si>
  <si>
    <t>17.3.4</t>
  </si>
  <si>
    <t>17.4</t>
  </si>
  <si>
    <t>17.4.1</t>
  </si>
  <si>
    <t>17.4.2</t>
  </si>
  <si>
    <t>17.4.3</t>
  </si>
  <si>
    <t>17.4.4</t>
  </si>
  <si>
    <t>17.4.5</t>
  </si>
  <si>
    <t>17.4.6</t>
  </si>
  <si>
    <t>17.4.7</t>
  </si>
  <si>
    <t>17.4.8</t>
  </si>
  <si>
    <t>17.4.9</t>
  </si>
  <si>
    <t>Rede de esgoto, contendo fossa e filtro, inclusive tubos e conexões de ligação entre caixas, considerando distância de 25m, conforme projeto (1 utilização).1.7. Rede de esgoto, contendo fossa e filtro, inclusive tubos e conexões de ligação entre caixas, considerando distância de 25m, conforme projeto (1 utilização).</t>
  </si>
  <si>
    <r>
      <t xml:space="preserve">1 x (0,65 x 0,65) = 0,42m²           
 TOTAL GERAL = </t>
    </r>
    <r>
      <rPr>
        <b/>
        <sz val="10"/>
        <color theme="1"/>
        <rFont val="Arial"/>
        <family val="2"/>
      </rPr>
      <t>0,42m²</t>
    </r>
  </si>
  <si>
    <r>
      <t xml:space="preserve">13 x (2 x 1,45) = 37,7m²
4 x (1,5 x 0,75) =  4,5m²                                                                             4 x (0,7 x 0,7) =  1,96m²
2 x (0,5 x 0,75) = 0,75m²
1 x (0,6 x 0,7) = 0,42m²                                                                                           1 x (2,2 x 0,75) = 1,65m²
TOTAL GERAL = </t>
    </r>
    <r>
      <rPr>
        <b/>
        <sz val="10"/>
        <color theme="1"/>
        <rFont val="Arial"/>
        <family val="2"/>
      </rPr>
      <t>46,98m²</t>
    </r>
  </si>
  <si>
    <r>
      <t xml:space="preserve">8 x (0,6 x 1,80 ) = 8,64m²
4 x (0,9 x 2,10) = 7,56m²
4 x (0,8 x 2,10) = 6,72m²
TOTAL GERAL = </t>
    </r>
    <r>
      <rPr>
        <b/>
        <sz val="10"/>
        <color theme="1"/>
        <rFont val="Arial"/>
        <family val="2"/>
      </rPr>
      <t>22,92m²</t>
    </r>
  </si>
  <si>
    <r>
      <t xml:space="preserve">1 x (0,65 x 0,65) = 0,42m²
TOTAL GERAL= </t>
    </r>
    <r>
      <rPr>
        <b/>
        <sz val="10"/>
        <color theme="1"/>
        <rFont val="Arial"/>
        <family val="2"/>
      </rPr>
      <t>0,42m²</t>
    </r>
  </si>
  <si>
    <t>TOTAL GERAL</t>
  </si>
  <si>
    <t>17.3.5</t>
  </si>
  <si>
    <t xml:space="preserve">Muro de alvenaria de blocos cerâmicos 10x20x20cm, c/ pilares a cada 2 m, esp. 10cm e h=2.5m, revestido com chapisco, reboco e pintura acrílica a 2 demãos, incl. pilares, cintas e sapatas, empregando arg. cimento cal e areia
</t>
  </si>
  <si>
    <r>
      <t xml:space="preserve">A = (1,65 + 0,60) x 7,69 = 17,31m²
A = (0,60 + 0,60) x 7,67 = 9,21m²
A = (5,52 x 5,94) – (2,54 x 2,37) = 32,79 – 6,02 = 26,77m²
A = (3,15 + 3,50) x 5,94 = 39,50m²
A = (11,48+3,70 + 1,65) x 5,94 = 99,97m²
TOTAL GERAL = </t>
    </r>
    <r>
      <rPr>
        <b/>
        <sz val="10"/>
        <color theme="1"/>
        <rFont val="Arial"/>
        <family val="2"/>
      </rPr>
      <t>192,76m²</t>
    </r>
    <r>
      <rPr>
        <sz val="10"/>
        <color theme="1"/>
        <rFont val="Arial"/>
        <family val="2"/>
      </rPr>
      <t xml:space="preserve">
</t>
    </r>
  </si>
  <si>
    <r>
      <t xml:space="preserve">
TOTAL GERAL =</t>
    </r>
    <r>
      <rPr>
        <b/>
        <sz val="8"/>
        <color theme="1"/>
        <rFont val="Arial"/>
        <family val="2"/>
      </rPr>
      <t xml:space="preserve"> 3 Unidades</t>
    </r>
    <r>
      <rPr>
        <sz val="8"/>
        <color theme="1"/>
        <rFont val="Arial"/>
        <family val="2"/>
      </rPr>
      <t xml:space="preserve">
</t>
    </r>
  </si>
  <si>
    <r>
      <t>TOTAL GERAL =</t>
    </r>
    <r>
      <rPr>
        <b/>
        <sz val="8"/>
        <color theme="1"/>
        <rFont val="Arial"/>
        <family val="2"/>
      </rPr>
      <t xml:space="preserve"> 1 Unidade</t>
    </r>
    <r>
      <rPr>
        <sz val="8"/>
        <color theme="1"/>
        <rFont val="Arial"/>
        <family val="2"/>
      </rPr>
      <t xml:space="preserve">
</t>
    </r>
  </si>
  <si>
    <r>
      <t xml:space="preserve">TOTAL GERAL = </t>
    </r>
    <r>
      <rPr>
        <b/>
        <sz val="8"/>
        <color theme="1"/>
        <rFont val="Arial"/>
        <family val="2"/>
      </rPr>
      <t>1 Unidade</t>
    </r>
  </si>
  <si>
    <r>
      <t xml:space="preserve">TOTAL GERAL = </t>
    </r>
    <r>
      <rPr>
        <b/>
        <sz val="8"/>
        <color theme="1"/>
        <rFont val="Arial"/>
        <family val="2"/>
      </rPr>
      <t>3 Unidades</t>
    </r>
  </si>
  <si>
    <r>
      <t xml:space="preserve">C = (5,8 x 10) + 1,28 + 1,86 + 1,51 + 0,66 + 0,82 + 0,65 + 0,86 + 0,65 + 0,82 + 0,86 + 0,66 + 1,51 + 0,93 + 1,87 + 0,7 + 0,71 + 0,4 + 0,77 + 0,4 + 1,63 + 1,82 + 0,93 + 1,51 + 0,66 + 0,33 + 0,35 + 0,83 + 0,65 + 0,65 + 0,82 + 0,33 + 0,35 + 0,66 + 1,51 + 1,58 + 0,35 + 0,77 + 0,39 + 1,10 + 5,68 = 98,82m
TOTAL GERAL = </t>
    </r>
    <r>
      <rPr>
        <b/>
        <sz val="8"/>
        <color theme="1"/>
        <rFont val="Arial"/>
        <family val="2"/>
      </rPr>
      <t>98,82 m</t>
    </r>
    <r>
      <rPr>
        <sz val="8"/>
        <color theme="1"/>
        <rFont val="Arial"/>
        <family val="2"/>
      </rPr>
      <t xml:space="preserve">
</t>
    </r>
  </si>
  <si>
    <r>
      <t xml:space="preserve">C = 0,18 + 0,77 + 0,18 + 0,8 + 1,9 + 0,95 + 0,34 + 0,34 + 0,25 + 0,53 + 0,53 + 0,25 + 0,18 + 0,78 + 0,79 + 0,45 + 0,25 + 0,74 +  0,95 + 1,9 + 0,18 + 0,77 + 0,18 + 0,8 + 1,05 + 0,24 + 0,58 + 0,25 + 1,61 + 0,18 + 0,18 + 0,5 + 0,25 = 19,83m
TOTAL GERAL = </t>
    </r>
    <r>
      <rPr>
        <b/>
        <sz val="8"/>
        <color theme="1"/>
        <rFont val="Arial"/>
        <family val="2"/>
      </rPr>
      <t>19,83 m</t>
    </r>
    <r>
      <rPr>
        <sz val="8"/>
        <color theme="1"/>
        <rFont val="Arial"/>
        <family val="2"/>
      </rPr>
      <t xml:space="preserve">
</t>
    </r>
  </si>
  <si>
    <r>
      <t xml:space="preserve">C = 51,08 + 1,09 + 3,24 + 1,09 + 2,59 + 12,33 + 7,94 + 2,55 + 7,44 + 1,00 + 15,44 + 0,35 + 1,34 + 1,34 + 0,35 + 0,35 + 1,39 + 0,35 + 0,13 + 0,36 + 1,39 + 0,35 + 0,35 + 0,21 + 5,8 + 5,8 + 5,8 + 5,8 + 5,8 = 143,05m
TOTAL GERAL = </t>
    </r>
    <r>
      <rPr>
        <b/>
        <sz val="8"/>
        <color theme="1"/>
        <rFont val="Arial"/>
        <family val="2"/>
      </rPr>
      <t>143,05 m</t>
    </r>
    <r>
      <rPr>
        <sz val="8"/>
        <color theme="1"/>
        <rFont val="Arial"/>
        <family val="2"/>
      </rPr>
      <t xml:space="preserve">
</t>
    </r>
  </si>
  <si>
    <r>
      <t xml:space="preserve">C = 14,95 + 10,08 + 11,98 + 14,42 + 5,8 + 5,8 = 63,03m
TOTAL GERAL = </t>
    </r>
    <r>
      <rPr>
        <b/>
        <sz val="8"/>
        <color theme="1"/>
        <rFont val="Arial"/>
        <family val="2"/>
      </rPr>
      <t>63,03 m</t>
    </r>
    <r>
      <rPr>
        <sz val="8"/>
        <color theme="1"/>
        <rFont val="Arial"/>
        <family val="2"/>
      </rPr>
      <t xml:space="preserve">
</t>
    </r>
  </si>
  <si>
    <r>
      <t xml:space="preserve">C = (13,42 + 11,31 + 25,23 + 16,64 + 33,73 + 1,29 + 10,79 + 3,46 ) x 0,2 x 0,2 + (51,08 + 10,91 + 3,24 + 1,09 + 2,55 + 12,33 + 2,55 + 7,44 + 15,44 + 1,00) x 0,5 x 0,5 + (5,68 + 0,71) x 0,5 x 0,5 + (14,95 + 10,08 + 11,98 + 14,42) x 0,5 x 0,5 = 46,00 m³
TOTAL GERAL = </t>
    </r>
    <r>
      <rPr>
        <b/>
        <sz val="8"/>
        <color theme="1"/>
        <rFont val="Arial"/>
        <family val="2"/>
      </rPr>
      <t>46,00 m³</t>
    </r>
    <r>
      <rPr>
        <sz val="8"/>
        <color theme="1"/>
        <rFont val="Arial"/>
        <family val="2"/>
      </rPr>
      <t xml:space="preserve">
</t>
    </r>
  </si>
  <si>
    <t>Vidro temperado Incolor, esp. 6 mm fornecimento e instalação inclusive massa para vedação ( Porta de Abrir)</t>
  </si>
  <si>
    <t>Vidro temperado Incolor, esp. 8 mm fornecimento e instalação inclusive massa para vedação ( Porta de Abrir)</t>
  </si>
  <si>
    <t>10.4</t>
  </si>
  <si>
    <r>
      <t xml:space="preserve">PV 01
A = (1,40 X 2,10) = 2,94m²
TOTAL GERAL  = </t>
    </r>
    <r>
      <rPr>
        <b/>
        <sz val="10"/>
        <color theme="1"/>
        <rFont val="Arial"/>
        <family val="2"/>
      </rPr>
      <t>2,94m</t>
    </r>
    <r>
      <rPr>
        <sz val="11"/>
        <color theme="1"/>
        <rFont val="Calibri"/>
        <family val="2"/>
        <scheme val="minor"/>
      </rPr>
      <t/>
    </r>
  </si>
  <si>
    <t>10.5</t>
  </si>
  <si>
    <t>Vidro temperado Incolor, esp. 10 mm fornecimento e instalação inclusive massa para vedação ( Porta de Correr)</t>
  </si>
  <si>
    <r>
      <t xml:space="preserve">PV 01
A = (2,00 X 2,50) = 5,00m²
PV 02
A = (5,20 x 2,10) = 10,92m²
TOTAL GERAL  = </t>
    </r>
    <r>
      <rPr>
        <b/>
        <sz val="10"/>
        <color theme="1"/>
        <rFont val="Arial"/>
        <family val="2"/>
      </rPr>
      <t>15,92m²</t>
    </r>
  </si>
  <si>
    <r>
      <t xml:space="preserve">PV 01
A = (0,80 X 2,10) X 7 = 11,76m²
A = (1,00 X 2,10) = 2,10m²
PV 02
A = (0,80 X 2,10) X 7 = 11,76m²
TOTAL GERAL  = </t>
    </r>
    <r>
      <rPr>
        <b/>
        <sz val="10"/>
        <color theme="1"/>
        <rFont val="Arial"/>
        <family val="2"/>
      </rPr>
      <t>25,62m²</t>
    </r>
  </si>
  <si>
    <t>Pele de Vidro da linha PVII</t>
  </si>
  <si>
    <t>SUBTOTAL 04</t>
  </si>
  <si>
    <t>SUBTOTAL 11</t>
  </si>
  <si>
    <t>PONTOS, QUADROS E COMPLEMENTOS</t>
  </si>
  <si>
    <t>SUBTOTAL 16</t>
  </si>
  <si>
    <t>PLANILHA ORÇAMENTÁRIA</t>
  </si>
  <si>
    <r>
      <t xml:space="preserve">TOTAL GERAL = </t>
    </r>
    <r>
      <rPr>
        <b/>
        <sz val="8"/>
        <color theme="1"/>
        <rFont val="Arial"/>
        <family val="2"/>
      </rPr>
      <t>12,00 Unidades</t>
    </r>
  </si>
  <si>
    <r>
      <t>TOTAL GERAL =</t>
    </r>
    <r>
      <rPr>
        <b/>
        <sz val="8"/>
        <color theme="1"/>
        <rFont val="Arial"/>
        <family val="2"/>
      </rPr>
      <t xml:space="preserve"> 14,00 Unidades</t>
    </r>
  </si>
  <si>
    <r>
      <t xml:space="preserve">TOTAL GERAL = </t>
    </r>
    <r>
      <rPr>
        <b/>
        <sz val="8"/>
        <color theme="1"/>
        <rFont val="Arial"/>
        <family val="2"/>
      </rPr>
      <t>22,00 Unidades</t>
    </r>
  </si>
  <si>
    <r>
      <t xml:space="preserve">TOTAL GERAL = </t>
    </r>
    <r>
      <rPr>
        <b/>
        <sz val="8"/>
        <color theme="1"/>
        <rFont val="Arial"/>
        <family val="2"/>
      </rPr>
      <t>18,00 Unidades</t>
    </r>
  </si>
  <si>
    <r>
      <t>TOTAL GERAL =</t>
    </r>
    <r>
      <rPr>
        <b/>
        <sz val="8"/>
        <color theme="1"/>
        <rFont val="Arial"/>
        <family val="2"/>
      </rPr>
      <t xml:space="preserve"> 6,00 Unidades</t>
    </r>
  </si>
  <si>
    <r>
      <t xml:space="preserve">TOTAL GERAL = </t>
    </r>
    <r>
      <rPr>
        <b/>
        <sz val="8"/>
        <color theme="1"/>
        <rFont val="Arial"/>
        <family val="2"/>
      </rPr>
      <t>2,00 Unidades</t>
    </r>
  </si>
  <si>
    <r>
      <t>TOTAL GERAL =</t>
    </r>
    <r>
      <rPr>
        <b/>
        <sz val="8"/>
        <color theme="1"/>
        <rFont val="Arial"/>
        <family val="2"/>
      </rPr>
      <t xml:space="preserve"> 2,00 Unidades</t>
    </r>
  </si>
  <si>
    <r>
      <t xml:space="preserve">TOTAL GERAL = </t>
    </r>
    <r>
      <rPr>
        <b/>
        <sz val="8"/>
        <color theme="1"/>
        <rFont val="Arial"/>
        <family val="2"/>
      </rPr>
      <t>1,00 Unidade</t>
    </r>
  </si>
  <si>
    <r>
      <t xml:space="preserve">TOTAL GERAL = </t>
    </r>
    <r>
      <rPr>
        <b/>
        <sz val="8"/>
        <color theme="1"/>
        <rFont val="Arial"/>
        <family val="2"/>
      </rPr>
      <t>14,00 Unidades</t>
    </r>
  </si>
  <si>
    <r>
      <t>TOTAL GERAL =</t>
    </r>
    <r>
      <rPr>
        <b/>
        <sz val="8"/>
        <color theme="1"/>
        <rFont val="Arial"/>
        <family val="2"/>
      </rPr>
      <t xml:space="preserve"> 5,00 Unidades</t>
    </r>
  </si>
  <si>
    <r>
      <t xml:space="preserve">TOTAL GERAL </t>
    </r>
    <r>
      <rPr>
        <b/>
        <sz val="8"/>
        <color theme="1"/>
        <rFont val="Arial"/>
        <family val="2"/>
      </rPr>
      <t>= 14,00 Unidades</t>
    </r>
  </si>
  <si>
    <r>
      <t>TOTAL GERAL =</t>
    </r>
    <r>
      <rPr>
        <b/>
        <sz val="8"/>
        <color theme="1"/>
        <rFont val="Arial"/>
        <family val="2"/>
      </rPr>
      <t xml:space="preserve"> 8,00 Unidades</t>
    </r>
  </si>
  <si>
    <r>
      <t>TOTAL GERAL =</t>
    </r>
    <r>
      <rPr>
        <b/>
        <sz val="8"/>
        <color theme="1"/>
        <rFont val="Arial"/>
        <family val="2"/>
      </rPr>
      <t xml:space="preserve"> 4,00 Unidades</t>
    </r>
  </si>
  <si>
    <r>
      <t>TOTAL GERAL =</t>
    </r>
    <r>
      <rPr>
        <b/>
        <sz val="8"/>
        <color theme="1"/>
        <rFont val="Arial"/>
        <family val="2"/>
      </rPr>
      <t xml:space="preserve"> 17,00 Unidades</t>
    </r>
  </si>
  <si>
    <r>
      <t xml:space="preserve">TOTAL GERAL = </t>
    </r>
    <r>
      <rPr>
        <b/>
        <sz val="8"/>
        <color theme="1"/>
        <rFont val="Arial"/>
        <family val="2"/>
      </rPr>
      <t>150,00 Unidades</t>
    </r>
  </si>
  <si>
    <r>
      <t>TOTAL GERAL =</t>
    </r>
    <r>
      <rPr>
        <b/>
        <sz val="8"/>
        <color theme="1"/>
        <rFont val="Arial"/>
        <family val="2"/>
      </rPr>
      <t xml:space="preserve"> 16,00 Unidades</t>
    </r>
  </si>
  <si>
    <r>
      <t xml:space="preserve">TOTAL GERAL = </t>
    </r>
    <r>
      <rPr>
        <b/>
        <sz val="8"/>
        <color theme="1"/>
        <rFont val="Arial"/>
        <family val="2"/>
      </rPr>
      <t>21,00 Unidades</t>
    </r>
  </si>
  <si>
    <r>
      <t xml:space="preserve">TOTAL GERAL = </t>
    </r>
    <r>
      <rPr>
        <b/>
        <sz val="8"/>
        <color theme="1"/>
        <rFont val="Arial"/>
        <family val="2"/>
      </rPr>
      <t>25,00 Unidades</t>
    </r>
  </si>
  <si>
    <r>
      <t xml:space="preserve">TOTAL GERAL = </t>
    </r>
    <r>
      <rPr>
        <b/>
        <sz val="8"/>
        <color theme="1"/>
        <rFont val="Arial"/>
        <family val="2"/>
      </rPr>
      <t>138,00 Unidades</t>
    </r>
  </si>
  <si>
    <r>
      <t xml:space="preserve">TOTAL GERAL = </t>
    </r>
    <r>
      <rPr>
        <b/>
        <sz val="8"/>
        <color theme="1"/>
        <rFont val="Arial"/>
        <family val="2"/>
      </rPr>
      <t>13,00 Unidades</t>
    </r>
  </si>
  <si>
    <r>
      <t>TOTAL GERAL =</t>
    </r>
    <r>
      <rPr>
        <b/>
        <sz val="8"/>
        <color theme="1"/>
        <rFont val="Arial"/>
        <family val="2"/>
      </rPr>
      <t xml:space="preserve"> 3,00 Unidades</t>
    </r>
  </si>
  <si>
    <r>
      <t>TOTAL GERAL =</t>
    </r>
    <r>
      <rPr>
        <b/>
        <sz val="8"/>
        <color theme="1"/>
        <rFont val="Arial"/>
        <family val="2"/>
      </rPr>
      <t xml:space="preserve"> 352,50 m</t>
    </r>
  </si>
  <si>
    <r>
      <t xml:space="preserve">TOTAL GERAL = </t>
    </r>
    <r>
      <rPr>
        <b/>
        <sz val="8"/>
        <color theme="1"/>
        <rFont val="Arial"/>
        <family val="2"/>
      </rPr>
      <t xml:space="preserve">162,20 m </t>
    </r>
  </si>
  <si>
    <r>
      <t xml:space="preserve">TOTAL GERAL = </t>
    </r>
    <r>
      <rPr>
        <b/>
        <sz val="8"/>
        <color theme="1"/>
        <rFont val="Arial"/>
        <family val="2"/>
      </rPr>
      <t>222,10 m</t>
    </r>
  </si>
  <si>
    <r>
      <t>TOTAL GERAL =</t>
    </r>
    <r>
      <rPr>
        <b/>
        <sz val="8"/>
        <color theme="1"/>
        <rFont val="Arial"/>
        <family val="2"/>
      </rPr>
      <t xml:space="preserve"> 70,00 m</t>
    </r>
  </si>
  <si>
    <r>
      <t xml:space="preserve">TOTAL GERAL = </t>
    </r>
    <r>
      <rPr>
        <b/>
        <sz val="8"/>
        <color theme="1"/>
        <rFont val="Arial"/>
        <family val="2"/>
      </rPr>
      <t>4,00 Unidades</t>
    </r>
  </si>
  <si>
    <r>
      <t xml:space="preserve">TOTAL GERAL = </t>
    </r>
    <r>
      <rPr>
        <b/>
        <sz val="8"/>
        <color theme="1"/>
        <rFont val="Arial"/>
        <family val="2"/>
      </rPr>
      <t>30,00 Unidades</t>
    </r>
  </si>
  <si>
    <r>
      <t xml:space="preserve">TOTAL GERAL = </t>
    </r>
    <r>
      <rPr>
        <b/>
        <sz val="8"/>
        <color theme="1"/>
        <rFont val="Arial"/>
        <family val="2"/>
      </rPr>
      <t>10,00 Unidades</t>
    </r>
  </si>
  <si>
    <r>
      <t xml:space="preserve">TOTAL GERAL = </t>
    </r>
    <r>
      <rPr>
        <b/>
        <sz val="8"/>
        <color theme="1"/>
        <rFont val="Arial"/>
        <family val="2"/>
      </rPr>
      <t>9,00 Unidades</t>
    </r>
  </si>
  <si>
    <r>
      <t>TOTAL GERAL =</t>
    </r>
    <r>
      <rPr>
        <b/>
        <sz val="8"/>
        <color theme="1"/>
        <rFont val="Arial"/>
        <family val="2"/>
      </rPr>
      <t xml:space="preserve"> 10,00 Unidades</t>
    </r>
  </si>
  <si>
    <r>
      <t xml:space="preserve">TOTAL GERAL = </t>
    </r>
    <r>
      <rPr>
        <b/>
        <sz val="8"/>
        <color theme="1"/>
        <rFont val="Arial"/>
        <family val="2"/>
      </rPr>
      <t>6,00 Unidades</t>
    </r>
  </si>
  <si>
    <r>
      <t xml:space="preserve">TOTAL GERAL = </t>
    </r>
    <r>
      <rPr>
        <b/>
        <sz val="8"/>
        <color theme="1"/>
        <rFont val="Arial"/>
        <family val="2"/>
      </rPr>
      <t>54,00 Unidades</t>
    </r>
  </si>
  <si>
    <r>
      <t xml:space="preserve">TOTAL GERAL = </t>
    </r>
    <r>
      <rPr>
        <b/>
        <sz val="8"/>
        <color theme="1"/>
        <rFont val="Arial"/>
        <family val="2"/>
      </rPr>
      <t>15,00 Unidades</t>
    </r>
  </si>
  <si>
    <r>
      <t xml:space="preserve">TOTAL GERAL = </t>
    </r>
    <r>
      <rPr>
        <b/>
        <sz val="8"/>
        <color theme="1"/>
        <rFont val="Arial"/>
        <family val="2"/>
      </rPr>
      <t>3,00 Unidades</t>
    </r>
  </si>
  <si>
    <r>
      <t xml:space="preserve">TOTAL GERAL = </t>
    </r>
    <r>
      <rPr>
        <b/>
        <sz val="8"/>
        <color theme="1"/>
        <rFont val="Arial"/>
        <family val="2"/>
      </rPr>
      <t>17,00 Unidades</t>
    </r>
  </si>
  <si>
    <r>
      <t xml:space="preserve">TOTAL GERAL = </t>
    </r>
    <r>
      <rPr>
        <b/>
        <sz val="8"/>
        <color theme="1"/>
        <rFont val="Arial"/>
        <family val="2"/>
      </rPr>
      <t>30,00 m</t>
    </r>
  </si>
  <si>
    <r>
      <t>C = 3,76 + 1,65 + 5,80 + 15,63 + 5,07 + 22,82 + 6,11 + 3,65 + 3,15 + 3,86 + 5,51 + 9,45 + 11,5 = 97,96m
Total Geral=</t>
    </r>
    <r>
      <rPr>
        <b/>
        <sz val="8"/>
        <color theme="1"/>
        <rFont val="Arial"/>
        <family val="2"/>
      </rPr>
      <t xml:space="preserve"> 97,96m</t>
    </r>
  </si>
  <si>
    <r>
      <t>TOTAL GERAL =</t>
    </r>
    <r>
      <rPr>
        <b/>
        <sz val="8"/>
        <color theme="1"/>
        <rFont val="Arial"/>
        <family val="2"/>
      </rPr>
      <t xml:space="preserve"> 39,00 Unidades</t>
    </r>
  </si>
  <si>
    <t>MEMORIAL DE CÁLCULO</t>
  </si>
  <si>
    <r>
      <t xml:space="preserve">TOTAL GERAL = </t>
    </r>
    <r>
      <rPr>
        <b/>
        <sz val="8"/>
        <color theme="1"/>
        <rFont val="Arial"/>
        <family val="2"/>
      </rPr>
      <t>5,00 Unidades</t>
    </r>
  </si>
  <si>
    <r>
      <t xml:space="preserve">C = 9,25 + 1 + 1,15 + 1,15 + 3 + 3 + 6 * 5,8 =  </t>
    </r>
    <r>
      <rPr>
        <b/>
        <sz val="8"/>
        <color theme="1"/>
        <rFont val="Arial"/>
        <family val="2"/>
      </rPr>
      <t xml:space="preserve">53,35m
</t>
    </r>
    <r>
      <rPr>
        <sz val="8"/>
        <color theme="1"/>
        <rFont val="Arial"/>
        <family val="2"/>
      </rPr>
      <t xml:space="preserve">TOTAL GERAL </t>
    </r>
    <r>
      <rPr>
        <b/>
        <sz val="8"/>
        <color theme="1"/>
        <rFont val="Arial"/>
        <family val="2"/>
      </rPr>
      <t>= 53,35m</t>
    </r>
  </si>
  <si>
    <r>
      <t xml:space="preserve">TOTAL GERAL = </t>
    </r>
    <r>
      <rPr>
        <b/>
        <sz val="8"/>
        <color theme="1"/>
        <rFont val="Arial"/>
        <family val="2"/>
      </rPr>
      <t>36,00 Unidades</t>
    </r>
  </si>
  <si>
    <r>
      <t>TOTAL GERAL =</t>
    </r>
    <r>
      <rPr>
        <b/>
        <sz val="8"/>
        <color theme="1"/>
        <rFont val="Arial"/>
        <family val="2"/>
      </rPr>
      <t xml:space="preserve"> 1,00 Unidade</t>
    </r>
  </si>
  <si>
    <r>
      <t>TOTAL GERAL = 1</t>
    </r>
    <r>
      <rPr>
        <b/>
        <sz val="8"/>
        <color theme="1"/>
        <rFont val="Arial"/>
        <family val="2"/>
      </rPr>
      <t>,00 Unidades</t>
    </r>
  </si>
  <si>
    <r>
      <t xml:space="preserve">TOTAL GERAL = </t>
    </r>
    <r>
      <rPr>
        <b/>
        <sz val="8"/>
        <color theme="1"/>
        <rFont val="Arial"/>
        <family val="2"/>
      </rPr>
      <t>365,35 m², conforme projeto arquitetônico</t>
    </r>
    <r>
      <rPr>
        <sz val="8"/>
        <color theme="1"/>
        <rFont val="Arial"/>
        <family val="2"/>
      </rPr>
      <t>.</t>
    </r>
  </si>
  <si>
    <r>
      <t xml:space="preserve">TOTAL GERAL = </t>
    </r>
    <r>
      <rPr>
        <b/>
        <sz val="8"/>
        <color theme="1"/>
        <rFont val="Arial"/>
        <family val="2"/>
      </rPr>
      <t>226,80 m², conforme projeto arquitetônico.</t>
    </r>
  </si>
  <si>
    <r>
      <t xml:space="preserve">TOTAL GERAL = </t>
    </r>
    <r>
      <rPr>
        <b/>
        <sz val="8"/>
        <color theme="1"/>
        <rFont val="Arial"/>
        <family val="2"/>
      </rPr>
      <t>2150 Unidades</t>
    </r>
  </si>
  <si>
    <r>
      <t xml:space="preserve">TOTAL GERAL = </t>
    </r>
    <r>
      <rPr>
        <b/>
        <sz val="8"/>
        <color theme="1"/>
        <rFont val="Arial"/>
        <family val="2"/>
      </rPr>
      <t>3,15 m², conforme projeto arquitetônico.</t>
    </r>
  </si>
  <si>
    <r>
      <t xml:space="preserve">TOTAL GERAL = </t>
    </r>
    <r>
      <rPr>
        <b/>
        <sz val="8"/>
        <color theme="1"/>
        <rFont val="Arial"/>
        <family val="2"/>
      </rPr>
      <t>7,20 m², conforme projeto arquitetônico.</t>
    </r>
  </si>
  <si>
    <t>OBRA: CONSTRUÇÃO DA SEDE ADMINISTRATIVA DO MUNICIPIO DE ÁGUIA BRANCA</t>
  </si>
  <si>
    <t xml:space="preserve">DESCRIÇÕES </t>
  </si>
  <si>
    <t>Mês 01</t>
  </si>
  <si>
    <t>Mês 02</t>
  </si>
  <si>
    <t>Mês 03</t>
  </si>
  <si>
    <t>Mês 04</t>
  </si>
  <si>
    <t>Mês 05</t>
  </si>
  <si>
    <t>Mês 06</t>
  </si>
  <si>
    <t>Mês 07</t>
  </si>
  <si>
    <t>Mês 08</t>
  </si>
  <si>
    <t>Mês 09</t>
  </si>
  <si>
    <t>Mês 10</t>
  </si>
  <si>
    <t>Mês 11</t>
  </si>
  <si>
    <t>Mês 12</t>
  </si>
  <si>
    <t>Mês 13</t>
  </si>
  <si>
    <t>Mês 14</t>
  </si>
  <si>
    <t>Mês 15</t>
  </si>
  <si>
    <t>Mês 16</t>
  </si>
  <si>
    <t>Mês 17</t>
  </si>
  <si>
    <t>Mês 18</t>
  </si>
  <si>
    <t>Mês 19</t>
  </si>
  <si>
    <t>Mês 20</t>
  </si>
  <si>
    <t>Mês 21</t>
  </si>
  <si>
    <t>Mês 22</t>
  </si>
  <si>
    <t>Mês 23</t>
  </si>
  <si>
    <t>Mês 24</t>
  </si>
  <si>
    <t>REVESTIMENTOS</t>
  </si>
  <si>
    <t>INSTALAÇÕES HIDRO-SANITÁRIAS</t>
  </si>
  <si>
    <t>TOTAL</t>
  </si>
  <si>
    <t>PRAZO DE EXECUÇÃO EM MESES CORRIDOS</t>
  </si>
  <si>
    <t xml:space="preserve">Pele de Vidro da linha PVII </t>
  </si>
  <si>
    <t>VALOR PARCIAL MENSAL</t>
  </si>
  <si>
    <t>VALOR ACUMULADO</t>
  </si>
  <si>
    <t>CRONOGRAMA</t>
  </si>
  <si>
    <r>
      <rPr>
        <sz val="40"/>
        <color theme="1"/>
        <rFont val="Calibri"/>
        <family val="2"/>
        <scheme val="minor"/>
      </rPr>
      <t>P  R  E  F  E  I  T  U  R  A    M  U  N  I  C  I  P  A  L    D  E</t>
    </r>
    <r>
      <rPr>
        <sz val="11"/>
        <color theme="1"/>
        <rFont val="Calibri"/>
        <family val="2"/>
        <scheme val="minor"/>
      </rPr>
      <t xml:space="preserve">
</t>
    </r>
    <r>
      <rPr>
        <b/>
        <sz val="60"/>
        <color theme="1"/>
        <rFont val="Calibri"/>
        <family val="2"/>
        <scheme val="minor"/>
      </rPr>
      <t>Á  G  U  I  A    B  R  A  N  C  A</t>
    </r>
  </si>
  <si>
    <t>Obra: Construção da Sede da Prefeitura Municipal
Local: Rua DR. Valery Kosvarovik / Praça dos Três Poderes, Bairro Cristo Rei</t>
  </si>
  <si>
    <t xml:space="preserve">DER </t>
  </si>
  <si>
    <t>UNITÁRIO SEM BDI</t>
  </si>
  <si>
    <t>UNITÁRIO COM BDI</t>
  </si>
  <si>
    <t>ESTACA BROCA DE CONCRETO, DIÂMETRO DE 20CM, ESCAVAÇÃO MANUAL COM TRADO CONCHA, COM ARMADURA DE ARRANQUE. AF_05/2020</t>
  </si>
  <si>
    <t>ESTACA BROCA DE CONCRETO, DIÂMETRO DE 25CM, ESCAVAÇÃO MANUAL COM TRADO CONCHA, COM ARMADURA DE ARRANQUE. AF_05/2020</t>
  </si>
  <si>
    <t>ESTACA ESCAVADA MECANICAMENTE, SEM FLUIDO ESTABILIZANTE, COM 25CM DE DIÂMETRO, CONCRETO LANÇADO MANUALMENTE (EXCLUSIVE MOBILIZAÇÃO E DESMOBILIZAÇÃO). AF_01/2020</t>
  </si>
  <si>
    <t>ESTACA ESCAVADA MECANICAMENTE, SEM FLUIDO ESTABILIZANTE, COM 40CM DE DIÂMETRO, CONCRETO LANÇADO POR CAMINHÃO BETONEIRA (EXCLUSIVE MOBILIZAÇÃO E DESMOBILIZAÇÃO). AF_01/2020</t>
  </si>
  <si>
    <t>102179</t>
  </si>
  <si>
    <t>102180</t>
  </si>
  <si>
    <t>102181</t>
  </si>
  <si>
    <t>INSTALAÇÃO DE VIDRO TEMPERADO, E = 8 MM, ENCAIXADO EM PERFIL U. AF_01/2021_PS  (Porta de Abrir)</t>
  </si>
  <si>
    <t>INSTALAÇÃO DE VIDRO TEMPERADO, E = 10 MM, ENCAIXADO EM PERFIL U. AF_01/2021_PS  (Porta de Correr)</t>
  </si>
  <si>
    <t>DER Rodovias</t>
  </si>
  <si>
    <t>100(%)</t>
  </si>
  <si>
    <r>
      <t xml:space="preserve">A = 4,00 x 2,00 = 8,00m²
Total Geral = </t>
    </r>
    <r>
      <rPr>
        <b/>
        <sz val="11"/>
        <color theme="1"/>
        <rFont val="Calibri"/>
        <family val="2"/>
        <scheme val="minor"/>
      </rPr>
      <t>8,00m²</t>
    </r>
    <r>
      <rPr>
        <sz val="11"/>
        <color theme="1"/>
        <rFont val="Calibri"/>
        <family val="2"/>
        <scheme val="minor"/>
      </rPr>
      <t xml:space="preserve">
</t>
    </r>
  </si>
  <si>
    <t>Equipe topográfica para serviços simples de locação e nivelamento (incluindo equipamento, transporte e profissionais nivel médio)</t>
  </si>
  <si>
    <t>mês</t>
  </si>
  <si>
    <t>Barracão para almoxarifado área de 10.90m2, de chapa de compensado de 12mm e pontalete 8x8cm, piso cimentado e cobertura de telhas de fibrocimento de 6mm, incl. ponto de luz, conf. projeto (1 utilização)</t>
  </si>
  <si>
    <t>Refeitório com paredes de chapa de compens. 12mm e pontaletes 8x8cm, piso ciment. e cob. de telhas fibroc. 6mm, incl. ponto de luz e cx. de inspeção (cons. 1.21 m2/func./turno), conf. projeto (1 utilização)</t>
  </si>
  <si>
    <t>Galpão para serraria e carpintaria área 12.00m2, em peça de madeira 8x8cm e contraventamento de 5x7cm, cobertura de telha de fibroc. de 6mm, inclusive ponto e cabo de alimentação da máquina, conf.
projeto (1 utilização)</t>
  </si>
  <si>
    <t>Galpão para corte e armação com área de 6.00m2, em peças de madeira 8x8cm e contraventamento de 5x7cm, cobertura de telhas de fibroc. de 6mm, inclusive ponto e cabo de alimentação da máquina, conf.
projeto (1 utilização)</t>
  </si>
  <si>
    <t>Aluguel mensal container sanitário, incl porta, básc, 2 ptos luz, 1 pto aterram., 3vasos, 3lavatórios, calha mictório, 6 chuveiros (1 eletrico), torn.,registros, piso comp. Naval pintado, cert NR18 e laudo
descontaminação</t>
  </si>
  <si>
    <t>Reservatório de poliestileno de 1000 L, incl. suporte em madeira de 7x12cm e 8x7cm, elevado de 4m, conf. projeto (1 utilização)</t>
  </si>
  <si>
    <t>ms</t>
  </si>
  <si>
    <t>1.9</t>
  </si>
  <si>
    <r>
      <t xml:space="preserve">C = 55,08+174,66+25,52+6,77+18,12+35,10 = 315,25m
Total Geral = </t>
    </r>
    <r>
      <rPr>
        <b/>
        <sz val="11"/>
        <color theme="1"/>
        <rFont val="Calibri"/>
        <family val="2"/>
        <scheme val="minor"/>
      </rPr>
      <t>315,25m</t>
    </r>
  </si>
  <si>
    <r>
      <t xml:space="preserve">Área do Terreno = </t>
    </r>
    <r>
      <rPr>
        <b/>
        <sz val="11"/>
        <color theme="1"/>
        <rFont val="Calibri"/>
        <family val="2"/>
        <scheme val="minor"/>
      </rPr>
      <t>1.455,40m²</t>
    </r>
    <r>
      <rPr>
        <sz val="11"/>
        <color theme="1"/>
        <rFont val="Calibri"/>
        <family val="2"/>
        <scheme val="minor"/>
      </rPr>
      <t xml:space="preserve"> -  </t>
    </r>
    <r>
      <rPr>
        <b/>
        <sz val="11"/>
        <color theme="1"/>
        <rFont val="Calibri"/>
        <family val="2"/>
        <scheme val="minor"/>
      </rPr>
      <t>Vide Projeto Topografia</t>
    </r>
    <r>
      <rPr>
        <sz val="11"/>
        <color theme="1"/>
        <rFont val="Calibri"/>
        <family val="2"/>
        <scheme val="minor"/>
      </rPr>
      <t xml:space="preserve"> / </t>
    </r>
    <r>
      <rPr>
        <b/>
        <sz val="11"/>
        <color theme="1"/>
        <rFont val="Calibri"/>
        <family val="2"/>
        <scheme val="minor"/>
      </rPr>
      <t>Prancha 01/01</t>
    </r>
  </si>
  <si>
    <t>1.10</t>
  </si>
  <si>
    <t>Mobilização e desmobilização de container de 51 km até 150 km</t>
  </si>
  <si>
    <t>1.11</t>
  </si>
  <si>
    <t>Locação de andaime metálico para trabalho em fachada de edifíco (aluguel de 1 m² por 1 mês) inclusive frete, montagem e desmontagem</t>
  </si>
  <si>
    <t>1.12</t>
  </si>
  <si>
    <t>1.13</t>
  </si>
  <si>
    <t>1.14</t>
  </si>
  <si>
    <t>1.15</t>
  </si>
  <si>
    <t>1.16</t>
  </si>
  <si>
    <t>1.17</t>
  </si>
  <si>
    <r>
      <t xml:space="preserve">A = 4,83m x 3,00m = 14,50m²
Total Geral = </t>
    </r>
    <r>
      <rPr>
        <b/>
        <sz val="11"/>
        <color theme="1"/>
        <rFont val="Calibri"/>
        <family val="2"/>
        <scheme val="minor"/>
      </rPr>
      <t>14,50m²</t>
    </r>
    <r>
      <rPr>
        <sz val="11"/>
        <color theme="1"/>
        <rFont val="Calibri"/>
        <family val="2"/>
        <scheme val="minor"/>
      </rPr>
      <t xml:space="preserve">
</t>
    </r>
  </si>
  <si>
    <r>
      <t xml:space="preserve">A = 3,63m x 3,00m = 10,90m²
Total Geral = </t>
    </r>
    <r>
      <rPr>
        <b/>
        <sz val="11"/>
        <color theme="1"/>
        <rFont val="Calibri"/>
        <family val="2"/>
        <scheme val="minor"/>
      </rPr>
      <t>10,90m²</t>
    </r>
    <r>
      <rPr>
        <sz val="11"/>
        <color theme="1"/>
        <rFont val="Calibri"/>
        <family val="2"/>
        <scheme val="minor"/>
      </rPr>
      <t xml:space="preserve">
</t>
    </r>
  </si>
  <si>
    <r>
      <t xml:space="preserve">A = 1,21m x 20 = 24,20m²
Dim. = 8,06m x 3,00m = 24,20m²
Total Geral = </t>
    </r>
    <r>
      <rPr>
        <b/>
        <sz val="11"/>
        <color theme="1"/>
        <rFont val="Calibri"/>
        <family val="2"/>
        <scheme val="minor"/>
      </rPr>
      <t>24,20m²</t>
    </r>
    <r>
      <rPr>
        <sz val="11"/>
        <color theme="1"/>
        <rFont val="Calibri"/>
        <family val="2"/>
        <scheme val="minor"/>
      </rPr>
      <t xml:space="preserve">
</t>
    </r>
  </si>
  <si>
    <r>
      <t xml:space="preserve">A = 6,00m x 2,00 = 12,00m²
Total Geral = </t>
    </r>
    <r>
      <rPr>
        <b/>
        <sz val="11"/>
        <color theme="1"/>
        <rFont val="Calibri"/>
        <family val="2"/>
        <scheme val="minor"/>
      </rPr>
      <t>12,00m²</t>
    </r>
    <r>
      <rPr>
        <sz val="11"/>
        <color theme="1"/>
        <rFont val="Calibri"/>
        <family val="2"/>
        <scheme val="minor"/>
      </rPr>
      <t xml:space="preserve">
</t>
    </r>
  </si>
  <si>
    <r>
      <t xml:space="preserve">A = 3,00m x 2,00 = 6,00m²
Total Geral = </t>
    </r>
    <r>
      <rPr>
        <b/>
        <sz val="11"/>
        <color theme="1"/>
        <rFont val="Calibri"/>
        <family val="2"/>
        <scheme val="minor"/>
      </rPr>
      <t>6,00m²</t>
    </r>
    <r>
      <rPr>
        <sz val="11"/>
        <color theme="1"/>
        <rFont val="Calibri"/>
        <family val="2"/>
        <scheme val="minor"/>
      </rPr>
      <t xml:space="preserve">
</t>
    </r>
  </si>
  <si>
    <r>
      <t xml:space="preserve">Q = 1,00und
Total Geral = </t>
    </r>
    <r>
      <rPr>
        <b/>
        <sz val="11"/>
        <color theme="1"/>
        <rFont val="Calibri"/>
        <family val="2"/>
        <scheme val="minor"/>
      </rPr>
      <t>1,00und</t>
    </r>
    <r>
      <rPr>
        <sz val="11"/>
        <color theme="1"/>
        <rFont val="Calibri"/>
        <family val="2"/>
        <scheme val="minor"/>
      </rPr>
      <t xml:space="preserve">
</t>
    </r>
  </si>
  <si>
    <r>
      <t xml:space="preserve">Q = 1,00und x 24mês
Total Geral = </t>
    </r>
    <r>
      <rPr>
        <b/>
        <sz val="11"/>
        <color theme="1"/>
        <rFont val="Calibri"/>
        <family val="2"/>
        <scheme val="minor"/>
      </rPr>
      <t>24,00mês</t>
    </r>
  </si>
  <si>
    <r>
      <t xml:space="preserve">Total Geral = </t>
    </r>
    <r>
      <rPr>
        <b/>
        <sz val="11"/>
        <color theme="1"/>
        <rFont val="Calibri"/>
        <family val="2"/>
        <scheme val="minor"/>
      </rPr>
      <t>20,00 m</t>
    </r>
  </si>
  <si>
    <r>
      <t>Total Geral =</t>
    </r>
    <r>
      <rPr>
        <b/>
        <sz val="11"/>
        <color theme="1"/>
        <rFont val="Calibri"/>
        <family val="2"/>
        <scheme val="minor"/>
      </rPr>
      <t xml:space="preserve"> 25,00m</t>
    </r>
  </si>
  <si>
    <r>
      <t>Total Geral =</t>
    </r>
    <r>
      <rPr>
        <b/>
        <sz val="11"/>
        <color theme="1"/>
        <rFont val="Calibri"/>
        <family val="2"/>
        <scheme val="minor"/>
      </rPr>
      <t xml:space="preserve"> 1,00und</t>
    </r>
  </si>
  <si>
    <r>
      <rPr>
        <b/>
        <sz val="7"/>
        <color theme="1"/>
        <rFont val="Arial"/>
        <family val="2"/>
      </rPr>
      <t>Vescavação = (B + 40cm) x (L + 40cm) x (H + 10cm)</t>
    </r>
    <r>
      <rPr>
        <sz val="7"/>
        <color theme="1"/>
        <rFont val="Arial"/>
        <family val="2"/>
      </rPr>
      <t xml:space="preserve">
B1/4/5/12/17/25/32/48/39/40 = (1,19 x 1,03) = (1,59 x 1,43) x 1,5 x 10 = 34,11m³
B2/9/20/23/24/26/31/33/34/30/35 = (1,30 x 1,12) = (1,70 x 1,52) x 1,50 x 11 = 42,64m³
B3 = (1,21 x 1,21) = (1,61 x 1,61 x 1,50) = 3,89m³
B6/16/7 = (1,11 X 0,53) = (1,51 x 0,93) x 1,50 x 3 = 6,32m³
B37 = (1,46 x 0,63) = (1,86 x 1,03) x 1,50 x 1 = 2,87m³
B47 = (1,00 x 0,50) = (1,40 x 0,90) x 1,50 = 1,89m³
B8/10/15/27 = (1,69 x 1,11) = (2,09 x 1,51) x 1,50 x 4 = 18,94m³
B22 = (2,35 x 1,03) = (2,75 x 1,43) x 1,50 = 5,90m³
B13/43 = (1,35 x 1,35) = (1,75 x 1,75) x 1,50 x 2 = 9,19m³
B11/14/18 = (1,48 x 1,48) = (1,88 x 1,88) x 1,50 x 3 = 15,90m³
B41/42/44/45 = (1,00 x 1,00) = (1,40 x 1,40) x 1,50 x 4 = 11,76m³
B21 = (1,11 x 1,11) = (1,51 x 1,51) x 1,50 = 3,42m³
B36 = (1,69 x 1,11) = (2,09 x 1,51) x 1,50 = 4,73m³
B49/50/51 = (1,11 x 0,53) = (1,51 x 0,93) x 1,50 x 3 = 6,32m³
B46 = (1,46 x 0,63) = (1,86 x 1,03) x 1,50 = 2,87m³
B19/38/29/28/52 = (1,21 x 0,56) = (1,61 x 1,06) x 1,50 x 5 = 12,80m³
Total Escavação Blocos = </t>
    </r>
    <r>
      <rPr>
        <b/>
        <sz val="7"/>
        <color theme="1"/>
        <rFont val="Arial"/>
        <family val="2"/>
      </rPr>
      <t xml:space="preserve">183,55m³
</t>
    </r>
    <r>
      <rPr>
        <sz val="7"/>
        <color theme="1"/>
        <rFont val="Arial"/>
        <family val="2"/>
      </rPr>
      <t xml:space="preserve">Vigas de Baldrame (14x30)
(22,69+1,69+2x1,99+4,73+2,79+9,35+3+6,01+3,32+5,28+2x1,99+2x7,14+5,12+15,58
3x1,11+9,93+3x3,67+1,52+9,47) = (137,06 x 0,54 x 0,35) = 25,90m³
</t>
    </r>
    <r>
      <rPr>
        <b/>
        <sz val="7"/>
        <color theme="1"/>
        <rFont val="Arial"/>
        <family val="2"/>
      </rPr>
      <t xml:space="preserve">
</t>
    </r>
    <r>
      <rPr>
        <sz val="7"/>
        <color theme="1"/>
        <rFont val="Arial"/>
        <family val="2"/>
      </rPr>
      <t xml:space="preserve">Total Escavação Vigas de Baldrame = </t>
    </r>
    <r>
      <rPr>
        <b/>
        <sz val="7"/>
        <color theme="1"/>
        <rFont val="Arial"/>
        <family val="2"/>
      </rPr>
      <t xml:space="preserve">25,90m³
</t>
    </r>
    <r>
      <rPr>
        <sz val="7"/>
        <color theme="1"/>
        <rFont val="Arial"/>
        <family val="2"/>
      </rPr>
      <t xml:space="preserve">Total Geral = </t>
    </r>
    <r>
      <rPr>
        <b/>
        <sz val="7"/>
        <color theme="1"/>
        <rFont val="Arial"/>
        <family val="2"/>
      </rPr>
      <t>209,45m³</t>
    </r>
  </si>
  <si>
    <t>2.1.5</t>
  </si>
  <si>
    <t>Demolição manual de concreto armado (EMOP 05.001.033)</t>
  </si>
  <si>
    <t>DER</t>
  </si>
  <si>
    <r>
      <t>Arrasamento de Estaca ø20cm = (3,1416 x 0,20²)/4 x 1,50 x 23 = 1,08m³</t>
    </r>
    <r>
      <rPr>
        <b/>
        <sz val="11"/>
        <color theme="1"/>
        <rFont val="Calibri"/>
        <family val="2"/>
        <scheme val="minor"/>
      </rPr>
      <t xml:space="preserve">
</t>
    </r>
    <r>
      <rPr>
        <sz val="11"/>
        <color theme="1"/>
        <rFont val="Calibri"/>
        <family val="2"/>
        <scheme val="minor"/>
      </rPr>
      <t xml:space="preserve">Arrasamento de Estaca ø25cm = (3,1416 x 0,25²)/4 x 1,50 x 151 = 11,12m³ 
Arrasamento de Estaca ø40cm = (3,1416 x 0,40²)/4 x 1,50 x 4 = 0,75m³
</t>
    </r>
    <r>
      <rPr>
        <b/>
        <sz val="11"/>
        <color theme="1"/>
        <rFont val="Calibri"/>
        <family val="2"/>
        <scheme val="minor"/>
      </rPr>
      <t xml:space="preserve">
</t>
    </r>
    <r>
      <rPr>
        <sz val="11"/>
        <color theme="1"/>
        <rFont val="Calibri"/>
        <family val="2"/>
        <scheme val="minor"/>
      </rPr>
      <t>Total Geral =</t>
    </r>
    <r>
      <rPr>
        <b/>
        <sz val="11"/>
        <color theme="1"/>
        <rFont val="Calibri"/>
        <family val="2"/>
        <scheme val="minor"/>
      </rPr>
      <t xml:space="preserve"> 12,95m³</t>
    </r>
  </si>
  <si>
    <t>Fornecimento, preparo e aplicação de concreto magro com consumo mínimo de cimento de 250 kg/m3 (brita 1 e 2) - (5% de perdas já incluído no custo)</t>
  </si>
  <si>
    <r>
      <t xml:space="preserve">V = área Bloco x 0,05cm
B1/4/5/12/17/25/32/48/39/40 = (1,19 x 1,03) 0,05 x 10 = 0,61m³
B2/9/20/23/24/26/31/33/34/30/35 = (1,30 x 1,12) x 0,05 x 11 = 0,80m³
B3 = (1,21 x 1,21) 0,05 = 0,07m³
B6/16/7 = (1,11 X 0,53) x 0,05 x 3 = 0,09m³
B37 = (1,46 x 0,63) x 0,05 = 0,04m³
B47 = (1,00 x 0,50) x 0,05 = 0,02m³
B8/10/15/27 = (1,69 x 1,11) x 0,05 x 4 = 0,38m³
B22 = (2,35 x 1,03) x 0,05 = 0,12m³
B13/43 = (1,35 x 1,35) x 0,05 x 2 = 0,18m³
B11/14/18 = (1,48 x 1,48) x 0,05 x 3 = 0,33m³
B41/42/44/45 = (1,00 x 1,00) x 0,05 x 4 = 0,20m³
B21 = (1,11 x 1,11) x 0,05 = 0,06m³
B36 = (1,69 x 1,11) x 0,05 = 0,09m³
B49/50/51 = (1,11 x 0,53) x 0,05 x 3 = 0,09m³
B46 = (1,46 x 0,63) x 0,05 = 0,05m³
B19/38/29/28/52 = (1,21 x 0,56) x 0,05 x 5 = 0,17m³
Total Magro Blocos = </t>
    </r>
    <r>
      <rPr>
        <b/>
        <sz val="8"/>
        <rFont val="Arial"/>
        <family val="2"/>
      </rPr>
      <t>3,30m³</t>
    </r>
    <r>
      <rPr>
        <sz val="8"/>
        <rFont val="Arial"/>
        <family val="2"/>
      </rPr>
      <t xml:space="preserve">
Vigas de Baldrame (14x30)
(22,69+1,69+2x1,99+4,73+2,79+9,35+3+6,01+3,32+5,28+2x1,99+2x7,14+5,12+15,58+3x1,11+9,93+3x3,67+1,52+9,47) = (137,06 x 0,20 x 0,05) = 1,37m³
Total Magro Vigas de Baldrame =</t>
    </r>
    <r>
      <rPr>
        <b/>
        <sz val="8"/>
        <rFont val="Arial"/>
        <family val="2"/>
      </rPr>
      <t xml:space="preserve"> 1,37m³</t>
    </r>
    <r>
      <rPr>
        <sz val="8"/>
        <rFont val="Arial"/>
        <family val="2"/>
      </rPr>
      <t xml:space="preserve">
Total Geral = </t>
    </r>
    <r>
      <rPr>
        <b/>
        <sz val="8"/>
        <rFont val="Arial"/>
        <family val="2"/>
      </rPr>
      <t>4,67m³</t>
    </r>
  </si>
  <si>
    <t>4.6</t>
  </si>
  <si>
    <r>
      <rPr>
        <b/>
        <sz val="8"/>
        <color theme="1"/>
        <rFont val="Arial"/>
        <family val="2"/>
      </rPr>
      <t>INFRA-ESTRUTURA</t>
    </r>
    <r>
      <rPr>
        <sz val="8"/>
        <color theme="1"/>
        <rFont val="Arial"/>
        <family val="2"/>
      </rPr>
      <t xml:space="preserve">
</t>
    </r>
    <r>
      <rPr>
        <b/>
        <sz val="8"/>
        <color theme="1"/>
        <rFont val="Arial"/>
        <family val="2"/>
      </rPr>
      <t>Blocos de Fundação:</t>
    </r>
    <r>
      <rPr>
        <sz val="8"/>
        <color theme="1"/>
        <rFont val="Arial"/>
        <family val="2"/>
      </rPr>
      <t xml:space="preserve">
Prancha 02/35 = 44,40m²
Prancha 03/35 = 30,98m²
Prancha 04/35 = 30,27m²
Prancha 05/35 = 30,97m²
</t>
    </r>
    <r>
      <rPr>
        <b/>
        <sz val="8"/>
        <color theme="1"/>
        <rFont val="Arial"/>
        <family val="2"/>
      </rPr>
      <t>Vigas do Baldrame:</t>
    </r>
    <r>
      <rPr>
        <sz val="8"/>
        <color theme="1"/>
        <rFont val="Arial"/>
        <family val="2"/>
      </rPr>
      <t xml:space="preserve">
Prancha 19/35 = 98,97m²
Total Geral= </t>
    </r>
    <r>
      <rPr>
        <b/>
        <sz val="8"/>
        <color theme="1"/>
        <rFont val="Arial"/>
        <family val="2"/>
      </rPr>
      <t>235,59m²</t>
    </r>
    <r>
      <rPr>
        <sz val="8"/>
        <color theme="1"/>
        <rFont val="Arial"/>
        <family val="2"/>
      </rPr>
      <t xml:space="preserve">
</t>
    </r>
  </si>
  <si>
    <r>
      <rPr>
        <b/>
        <sz val="8"/>
        <color theme="1"/>
        <rFont val="Arial"/>
        <family val="2"/>
      </rPr>
      <t>INFRA-ESTRUTURA</t>
    </r>
    <r>
      <rPr>
        <sz val="8"/>
        <color theme="1"/>
        <rFont val="Arial"/>
        <family val="2"/>
      </rPr>
      <t xml:space="preserve">
</t>
    </r>
    <r>
      <rPr>
        <b/>
        <sz val="8"/>
        <color theme="1"/>
        <rFont val="Arial"/>
        <family val="2"/>
      </rPr>
      <t>Blocos de Fundação:</t>
    </r>
    <r>
      <rPr>
        <sz val="8"/>
        <color theme="1"/>
        <rFont val="Arial"/>
        <family val="2"/>
      </rPr>
      <t xml:space="preserve">
Prancha 02/35 = 11,31m³
Prancha 03/35 = 7,61m³
Prancha 04/35 = 6,81m³
Prancha 05/35 = 6,37m³
</t>
    </r>
    <r>
      <rPr>
        <b/>
        <sz val="8"/>
        <color theme="1"/>
        <rFont val="Arial"/>
        <family val="2"/>
      </rPr>
      <t>Vigas do Baldrame:</t>
    </r>
    <r>
      <rPr>
        <sz val="8"/>
        <color theme="1"/>
        <rFont val="Arial"/>
        <family val="2"/>
      </rPr>
      <t xml:space="preserve">
Prancha 19/35 = 5,62m³
Total Geral= </t>
    </r>
    <r>
      <rPr>
        <b/>
        <sz val="8"/>
        <color theme="1"/>
        <rFont val="Arial"/>
        <family val="2"/>
      </rPr>
      <t>37,72m³</t>
    </r>
    <r>
      <rPr>
        <sz val="8"/>
        <color theme="1"/>
        <rFont val="Arial"/>
        <family val="2"/>
      </rPr>
      <t xml:space="preserve">
</t>
    </r>
  </si>
  <si>
    <r>
      <rPr>
        <b/>
        <sz val="8"/>
        <color theme="1"/>
        <rFont val="Arial"/>
        <family val="2"/>
      </rPr>
      <t>INFRA-ESTRUTURA</t>
    </r>
    <r>
      <rPr>
        <sz val="8"/>
        <color theme="1"/>
        <rFont val="Arial"/>
        <family val="2"/>
      </rPr>
      <t xml:space="preserve">
</t>
    </r>
    <r>
      <rPr>
        <b/>
        <sz val="8"/>
        <color theme="1"/>
        <rFont val="Arial"/>
        <family val="2"/>
      </rPr>
      <t>Blocos de Fundação:</t>
    </r>
    <r>
      <rPr>
        <sz val="8"/>
        <color theme="1"/>
        <rFont val="Arial"/>
        <family val="2"/>
      </rPr>
      <t xml:space="preserve">
Prancha 02/35 = 163,30Kg
Prancha 03/35 = 101,60Kg
Prancha 04/35 = 122,40Kg
Prancha 05/35 = 93,70Kg
</t>
    </r>
    <r>
      <rPr>
        <b/>
        <sz val="8"/>
        <color theme="1"/>
        <rFont val="Arial"/>
        <family val="2"/>
      </rPr>
      <t>Vigas do Baldrame:</t>
    </r>
    <r>
      <rPr>
        <sz val="8"/>
        <color theme="1"/>
        <rFont val="Arial"/>
        <family val="2"/>
      </rPr>
      <t xml:space="preserve">
Prancha 19/35 = 346,70Kg
Total Geral= </t>
    </r>
    <r>
      <rPr>
        <b/>
        <sz val="8"/>
        <color theme="1"/>
        <rFont val="Arial"/>
        <family val="2"/>
      </rPr>
      <t>827,70Kg</t>
    </r>
    <r>
      <rPr>
        <sz val="8"/>
        <color theme="1"/>
        <rFont val="Arial"/>
        <family val="2"/>
      </rPr>
      <t xml:space="preserve">
</t>
    </r>
  </si>
  <si>
    <r>
      <rPr>
        <b/>
        <sz val="8"/>
        <color theme="1"/>
        <rFont val="Arial"/>
        <family val="2"/>
      </rPr>
      <t>INFRA-ESTRUTURA</t>
    </r>
    <r>
      <rPr>
        <sz val="8"/>
        <color theme="1"/>
        <rFont val="Arial"/>
        <family val="2"/>
      </rPr>
      <t xml:space="preserve">
</t>
    </r>
    <r>
      <rPr>
        <b/>
        <sz val="8"/>
        <color theme="1"/>
        <rFont val="Arial"/>
        <family val="2"/>
      </rPr>
      <t>Blocos de Fundação:</t>
    </r>
    <r>
      <rPr>
        <sz val="8"/>
        <color theme="1"/>
        <rFont val="Arial"/>
        <family val="2"/>
      </rPr>
      <t xml:space="preserve">
Prancha 02/35 = 92,2Kg
Prancha 03/35 = 155,50Kg
Prancha 04/35 = 147,30Kg
Prancha 05/35 = 68,90Kg
</t>
    </r>
    <r>
      <rPr>
        <b/>
        <sz val="8"/>
        <color theme="1"/>
        <rFont val="Arial"/>
        <family val="2"/>
      </rPr>
      <t>Vigas do Baldrame:</t>
    </r>
    <r>
      <rPr>
        <sz val="8"/>
        <color theme="1"/>
        <rFont val="Arial"/>
        <family val="2"/>
      </rPr>
      <t xml:space="preserve">
Prancha 19/35 = 3,20Kg
Total Geral= </t>
    </r>
    <r>
      <rPr>
        <b/>
        <sz val="8"/>
        <color theme="1"/>
        <rFont val="Arial"/>
        <family val="2"/>
      </rPr>
      <t>467,10Kg</t>
    </r>
    <r>
      <rPr>
        <sz val="8"/>
        <color theme="1"/>
        <rFont val="Arial"/>
        <family val="2"/>
      </rPr>
      <t xml:space="preserve">
</t>
    </r>
  </si>
  <si>
    <r>
      <rPr>
        <b/>
        <sz val="8"/>
        <color theme="1"/>
        <rFont val="Arial"/>
        <family val="2"/>
      </rPr>
      <t>INFRA-ESTRUTURA</t>
    </r>
    <r>
      <rPr>
        <sz val="8"/>
        <color theme="1"/>
        <rFont val="Arial"/>
        <family val="2"/>
      </rPr>
      <t xml:space="preserve">
</t>
    </r>
    <r>
      <rPr>
        <b/>
        <sz val="8"/>
        <color theme="1"/>
        <rFont val="Arial"/>
        <family val="2"/>
      </rPr>
      <t>Blocos de Fundação:</t>
    </r>
    <r>
      <rPr>
        <sz val="8"/>
        <color theme="1"/>
        <rFont val="Arial"/>
        <family val="2"/>
      </rPr>
      <t xml:space="preserve">
Prancha 02/35 = 160,80Kg
Prancha 03/35 = 107,30Kg
Prancha 04/35 = 110,00Kg
Prancha 05/35 = 106,70Kg
</t>
    </r>
    <r>
      <rPr>
        <b/>
        <sz val="8"/>
        <color theme="1"/>
        <rFont val="Arial"/>
        <family val="2"/>
      </rPr>
      <t>Vigas do Baldrame:</t>
    </r>
    <r>
      <rPr>
        <sz val="8"/>
        <color theme="1"/>
        <rFont val="Arial"/>
        <family val="2"/>
      </rPr>
      <t xml:space="preserve">
Prancha 19/35 = 105,80Kg
Total Geral= </t>
    </r>
    <r>
      <rPr>
        <b/>
        <sz val="8"/>
        <color theme="1"/>
        <rFont val="Arial"/>
        <family val="2"/>
      </rPr>
      <t>590,60Kg</t>
    </r>
    <r>
      <rPr>
        <sz val="8"/>
        <color theme="1"/>
        <rFont val="Arial"/>
        <family val="2"/>
      </rPr>
      <t xml:space="preserve">
</t>
    </r>
  </si>
  <si>
    <r>
      <t xml:space="preserve">V= Volume de escavação dos blocos de fundação - volume de concreto dos blocos de fundação - volume dos pilaretes de arranque:
V = 209,45 - 37,72 = 171,73m²
Total Geral = </t>
    </r>
    <r>
      <rPr>
        <b/>
        <sz val="8"/>
        <rFont val="Arial"/>
        <family val="2"/>
      </rPr>
      <t>171,73m³</t>
    </r>
  </si>
  <si>
    <t>5.5</t>
  </si>
  <si>
    <r>
      <t xml:space="preserve">C = 37,48 x (0,38+0,56+0,38) = 49,47m²
Total Geral = </t>
    </r>
    <r>
      <rPr>
        <b/>
        <sz val="8"/>
        <color theme="1"/>
        <rFont val="Arial"/>
        <family val="2"/>
      </rPr>
      <t>49,47m²</t>
    </r>
  </si>
  <si>
    <t>Soleira de granito esp. 2 cm e largura de 15 cm</t>
  </si>
  <si>
    <r>
      <t xml:space="preserve">C = 3,76 + 1,65 + 5,80 + 15,63 + 5,07 + 22,82 + 6,11 + 3,65 + 3,15 + 3,86 + 5,51 + 9,45 + 11,5 = 97,96 x 2 = 195,92m
Total Geral= </t>
    </r>
    <r>
      <rPr>
        <b/>
        <sz val="8"/>
        <color theme="1"/>
        <rFont val="Arial"/>
        <family val="2"/>
      </rPr>
      <t>195,92m</t>
    </r>
    <r>
      <rPr>
        <sz val="8"/>
        <color theme="1"/>
        <rFont val="Arial"/>
        <family val="2"/>
      </rPr>
      <t xml:space="preserve">
</t>
    </r>
  </si>
  <si>
    <r>
      <t xml:space="preserve">C = 16 x 2 x (2,00 + 0,60) = 83,20m
C = 1 x (2,00 + 0,60) = 2,60m
C = 4 x 2 x (1,50 + 0,60) = 16,80m
C = 4 x 2 x (0,70 + 0,60) = 10,40m
C = 1 x (0,70 + 0,60) = 1,30m
C = 1 x 4 x (0,50 + 0,60) = 4,40m
C = 1 x 2 x  (0,65+ 0,60) = 2,50m
C = 8 x (0,60 + 0,60) = 9,60m
C = 4 x  (0,90 + 0,60) = 6,00m
C = 21 x (0,80 + 0,60) = 29,40m
C = (1,00 + 0,60) = 1,60m
C = (1,40 + 0,60) = 2,00m
C = (5,20 + 0,60) = 5,80m
Total Geral = </t>
    </r>
    <r>
      <rPr>
        <b/>
        <sz val="8"/>
        <color theme="1"/>
        <rFont val="Arial"/>
        <family val="2"/>
      </rPr>
      <t>175,60m</t>
    </r>
  </si>
  <si>
    <r>
      <t>TOTAL GERAL =</t>
    </r>
    <r>
      <rPr>
        <b/>
        <sz val="8"/>
        <color theme="1"/>
        <rFont val="Arial"/>
        <family val="2"/>
      </rPr>
      <t xml:space="preserve"> 3 Unidades</t>
    </r>
    <r>
      <rPr>
        <sz val="8"/>
        <color theme="1"/>
        <rFont val="Arial"/>
        <family val="2"/>
      </rPr>
      <t xml:space="preserve">
</t>
    </r>
  </si>
  <si>
    <r>
      <t xml:space="preserve">TOTAL GERAL </t>
    </r>
    <r>
      <rPr>
        <b/>
        <sz val="8"/>
        <color theme="1"/>
        <rFont val="Arial"/>
        <family val="2"/>
      </rPr>
      <t>= 3 Unidades</t>
    </r>
  </si>
  <si>
    <r>
      <t xml:space="preserve">16 x (2 x 1,45) = 37,7m²
TOTAL GERAL = </t>
    </r>
    <r>
      <rPr>
        <b/>
        <sz val="10"/>
        <color theme="1"/>
        <rFont val="Arial"/>
        <family val="2"/>
      </rPr>
      <t>46,40m²</t>
    </r>
  </si>
  <si>
    <r>
      <t xml:space="preserve">4 x (1,5 x 0,75) =  4,50m²       
4 x (0,7 x 0.7) =  1,96m²
2 x (0,5 x 0,75) = 0,75m²
1 x (0,6 x 0,7) = 0,42m²
1 x (2,2 x 0,75) =  1,65m²
TOTAL GERAL = </t>
    </r>
    <r>
      <rPr>
        <b/>
        <sz val="10"/>
        <color theme="1"/>
        <rFont val="Arial"/>
        <family val="2"/>
      </rPr>
      <t>9,28m²</t>
    </r>
  </si>
  <si>
    <r>
      <t xml:space="preserve">TOTAL GERAL = </t>
    </r>
    <r>
      <rPr>
        <b/>
        <sz val="8"/>
        <color theme="1"/>
        <rFont val="Arial"/>
        <family val="2"/>
      </rPr>
      <t>326,26 m, conforme projeto paisagismo</t>
    </r>
    <r>
      <rPr>
        <sz val="8"/>
        <color theme="1"/>
        <rFont val="Arial"/>
        <family val="2"/>
      </rPr>
      <t>.</t>
    </r>
  </si>
  <si>
    <r>
      <t xml:space="preserve">TOTAL GERAL = </t>
    </r>
    <r>
      <rPr>
        <b/>
        <sz val="8"/>
        <color theme="1"/>
        <rFont val="Arial"/>
        <family val="2"/>
      </rPr>
      <t>445,95 m², conforme projeto arquitetônico</t>
    </r>
    <r>
      <rPr>
        <sz val="8"/>
        <color theme="1"/>
        <rFont val="Arial"/>
        <family val="2"/>
      </rPr>
      <t>.</t>
    </r>
  </si>
  <si>
    <t>Muro de alvenaria de blocos cerâmicos 10x20x20cm, c/ pilares a cada 2 m, esp. 10cm e h=2.5m, revestido com chapisco, reboco e pintura acrílica a 2 demãos, incl. pilares, cintas e sapatas, empregando arg. cimento cal e areia</t>
  </si>
  <si>
    <r>
      <t xml:space="preserve">TOTAL GERAL = 17,00 x 0,80 = </t>
    </r>
    <r>
      <rPr>
        <b/>
        <sz val="8"/>
        <color theme="1"/>
        <rFont val="Arial"/>
        <family val="2"/>
      </rPr>
      <t>13,60 m, conf. projeto arquitetônico</t>
    </r>
    <r>
      <rPr>
        <sz val="8"/>
        <color theme="1"/>
        <rFont val="Arial"/>
        <family val="2"/>
      </rPr>
      <t>.</t>
    </r>
  </si>
  <si>
    <r>
      <t xml:space="preserve">Pavimento Térreo = 376,66m²
Estacionamento / Pavimentação = 445,95m²
Urbanização / Grama = 226,80m²
Passeio = 365,35m²
Guarita = 9,08m²
Total Geral = </t>
    </r>
    <r>
      <rPr>
        <b/>
        <sz val="11"/>
        <color theme="1"/>
        <rFont val="Calibri"/>
        <family val="2"/>
        <scheme val="minor"/>
      </rPr>
      <t>1.423,84m²</t>
    </r>
  </si>
  <si>
    <t>Limpeza geral da obra (edificação)</t>
  </si>
  <si>
    <r>
      <t xml:space="preserve">Pavimento Térreo = 376,66m²
Primeiro Pavimento = 376,66m²
Estacionamento / Pavimentação = 445,95m²
Passeio = 365,35m²
Guarita = 9,08m²
Total Geral = </t>
    </r>
    <r>
      <rPr>
        <b/>
        <sz val="11"/>
        <color theme="1"/>
        <rFont val="Calibri"/>
        <family val="2"/>
        <scheme val="minor"/>
      </rPr>
      <t>1.573,70m²</t>
    </r>
  </si>
  <si>
    <r>
      <t xml:space="preserve">Para acesso a Casa de Máquina, Barrilete e Caixa D'água
TOTAL GERAL = </t>
    </r>
    <r>
      <rPr>
        <b/>
        <sz val="8"/>
        <color theme="1"/>
        <rFont val="Arial"/>
        <family val="2"/>
      </rPr>
      <t>2,00 Unidades</t>
    </r>
  </si>
  <si>
    <t>Barra de apoio reta em aço inox 304 p/ portadores de necessidades especiais (NBR 9050), largura 80 cm</t>
  </si>
  <si>
    <r>
      <t xml:space="preserve">PV 01 - Banheiro PDF = 2,00 + 2,00
PV 02 - Banheiro PDF = 2,00 + 2,00
TOTAL GERAL = </t>
    </r>
    <r>
      <rPr>
        <b/>
        <sz val="8"/>
        <color theme="1"/>
        <rFont val="Arial"/>
        <family val="2"/>
      </rPr>
      <t>8,00 Unidades</t>
    </r>
  </si>
  <si>
    <r>
      <t xml:space="preserve">PV 01 - Escada
C = (3,60 x 2 ) + (2,64 x 2) + 2,90 + 0,20 = 15,58m
PV 01 - Rampa  
C = (8,00 x 2,00) = 16,00m
C = (16,93 x 2 ) + (15,70 x 2) + 3,60 + 0,20 = 69,06m
C = 8,19 + 7,10 + 1,32 = 16,61m
Total Geral = </t>
    </r>
    <r>
      <rPr>
        <b/>
        <sz val="8"/>
        <color theme="1"/>
        <rFont val="Arial"/>
        <family val="2"/>
      </rPr>
      <t>117,25m</t>
    </r>
  </si>
  <si>
    <t>Corrimão em tubo de ferro galvanizado diam. 2" com chumbadores a cada 1.5m</t>
  </si>
  <si>
    <r>
      <t>PV 01
Banheiro = 1,84 x 0,60 x 2 = 2,21
Banheiro PDF = 1,05 x 0,32 x 2 = 0,67
Cozinha = 1,00 x 0,60 = 0,60
Banheiro Sala 01 = 0,98 x 0,40 = 0,39
Banheiro Guarita = 0,90 x 0,33 = 0,30
PV 02
Banheiro = 1,85 x 0,60 x 2 = 2,21
Banheiro PDF = 1,05 x 0,32 x 2 = 0,67
TOTAL GERAL =</t>
    </r>
    <r>
      <rPr>
        <b/>
        <sz val="8"/>
        <color theme="1"/>
        <rFont val="Arial"/>
        <family val="2"/>
      </rPr>
      <t xml:space="preserve"> 7,05m²</t>
    </r>
  </si>
  <si>
    <t>BDI</t>
  </si>
  <si>
    <t>DEMONSTRATIVO BDI</t>
  </si>
  <si>
    <t>VALOR</t>
  </si>
  <si>
    <t>Administração Central</t>
  </si>
  <si>
    <t>Administração Local</t>
  </si>
  <si>
    <t>Impostos/Tributos</t>
  </si>
  <si>
    <t>ISS</t>
  </si>
  <si>
    <t>PIS</t>
  </si>
  <si>
    <t>COFINS</t>
  </si>
  <si>
    <t>Custos Financeiros</t>
  </si>
  <si>
    <t>Riscos, Garantias e Seguro</t>
  </si>
  <si>
    <t>Lucro</t>
  </si>
  <si>
    <t>FÓRMULA</t>
  </si>
  <si>
    <t>BDI = { [ (1+AC/100+AL/100+S/100+R/100+G/100+DF/100+L/100) / (1-I/100)] -1} x 100</t>
  </si>
  <si>
    <t>TOTAL DO BDI</t>
  </si>
  <si>
    <t xml:space="preserve">MODELO - 3º FAIXA </t>
  </si>
  <si>
    <t>BDI = 31,36%</t>
  </si>
  <si>
    <t>Placa de obra nas dimensões de 2.0 x 4.0 m, padrão DER</t>
  </si>
  <si>
    <t>010402</t>
  </si>
  <si>
    <t>010501</t>
  </si>
  <si>
    <t>010512</t>
  </si>
  <si>
    <t>020305</t>
  </si>
  <si>
    <t>020701</t>
  </si>
  <si>
    <t>020702</t>
  </si>
  <si>
    <t>020704</t>
  </si>
  <si>
    <t>020708</t>
  </si>
  <si>
    <t>020709</t>
  </si>
  <si>
    <t>020711</t>
  </si>
  <si>
    <t>020355</t>
  </si>
  <si>
    <t>020712</t>
  </si>
  <si>
    <t>020714</t>
  </si>
  <si>
    <t>020350</t>
  </si>
  <si>
    <t>020339</t>
  </si>
  <si>
    <t>Tapume Telha Metálica Ondulada em aço galvalume 0,50mm Branca h=2,20m, incl. montagem estr. mad. 8"x8", c/adesivo "DER-ES" 60x60cm a cada 10m, incl. faixas pint. esmalte sint. cores azul c/ h=30cm e rosa
c/ h=10cm (Reaproveitamento 2x)</t>
  </si>
  <si>
    <t>41496</t>
  </si>
  <si>
    <t>010219</t>
  </si>
  <si>
    <t>030101</t>
  </si>
  <si>
    <t>030201</t>
  </si>
  <si>
    <t>040231</t>
  </si>
  <si>
    <t>040250</t>
  </si>
  <si>
    <t>040243</t>
  </si>
  <si>
    <t>040245</t>
  </si>
  <si>
    <t>040246</t>
  </si>
  <si>
    <t>040331</t>
  </si>
  <si>
    <t>040328</t>
  </si>
  <si>
    <t>040332</t>
  </si>
  <si>
    <t>040333</t>
  </si>
  <si>
    <t>090102</t>
  </si>
  <si>
    <t>090206</t>
  </si>
  <si>
    <t>090302</t>
  </si>
  <si>
    <t>090305</t>
  </si>
  <si>
    <t>050605</t>
  </si>
  <si>
    <t>050607</t>
  </si>
  <si>
    <t>090403</t>
  </si>
  <si>
    <t>050301</t>
  </si>
  <si>
    <t>Porta em madeira de lei tipo angelim pedra ou equivalente,esp. 30 a 35mm c/ enchimento em madeira 1a qualidade, tipo sarrafeada para pintura, inclusive alizares, dobradiças e fechadura tipo alavanca em latão
cromado LaFonte ou equivalente, exclusive marco, nas dimensões: 0,70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</si>
  <si>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0,80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</si>
  <si>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0,60 x 2,10 m</t>
  </si>
  <si>
    <t>Reboco tipo paulista de argamassa de cimento, cal hidratada CH1 e areia média ou grossa lavada no traço 1:0.5:6, espessura 25 mm</t>
  </si>
  <si>
    <t>Registro de gaveta bruto ABNT diâmetro 2" (50mm) – Docol, Deca ou equivalente</t>
  </si>
  <si>
    <t>Registro de gaveta bruto ABNT diâmetro 1" (25mm) – Docol, Deca ou equivalente</t>
  </si>
  <si>
    <t>HIDRÔMETRO DN 3/4", 5,0 M3/H - FORNECIMENTO E INSTALAÇÃO. AF_03/2024</t>
  </si>
  <si>
    <t>Tubo de PVC rígido soldável branco, para esgoto, série normal, diâmetro 40mm (1 1/2"), inclusive conexões</t>
  </si>
  <si>
    <t>Tubo de PVC rígido soldável branco, para esgoto, série normal, diâmetro 50mm (2"), inclusive conexões</t>
  </si>
  <si>
    <t>Tubo de PVC rígido soldável branco, para esgoto, série normal, diâmetro 100mm (4"), inclusive conexões</t>
  </si>
  <si>
    <t>Tubo de PVC rígido soldável branco, para esgoto, série normal, diâmetro 150mm (6"), inclusive conexões</t>
  </si>
  <si>
    <t>Cuba de louça branca de embutir redonda, 36cm - L-41 – Deca ou equivalente, inclusive válvula de saída cromada 1”, sifão em metálico tipo copo cromado 1” x 1/2" e engate flexível trançado inox 1/2” x 30cm,
exclusive torneira</t>
  </si>
  <si>
    <t>Torneira angular de acionamento restrito para jardim, 3/4" – Docol ou equivalente</t>
  </si>
  <si>
    <t>Torneira bica baixa de mesa para lavatório PressMatic Alfa - Docol, Decamatic Smart - Deca ou equivalente</t>
  </si>
  <si>
    <t>Torneira de parede de cozinha bica alta 360º Gali - Docol ou equivalente</t>
  </si>
  <si>
    <t>Torneira de parede para tanque longa 3/4" 1158 Primor - Docol ou equivalente</t>
  </si>
  <si>
    <t>PAPELEIRA DE PAREDE EM METAL CROMADO SEM TAMPA, INCLUSO FIXAÇÃO. AF_01 /2020</t>
  </si>
  <si>
    <t>SABONETEIRA DE PAREDE EM METAL CROMADO, INCLUSO FIXAÇÃO. AF_01/2020</t>
  </si>
  <si>
    <t>Bacia convencional de louça branca, padrão popular - Logasa, Celite ou equivalente, inclusive assento plástico, tubo de ligação metal cromado com canopla, anel de vedação e parafusos para fixação</t>
  </si>
  <si>
    <t>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t>
  </si>
  <si>
    <t>Bacia sanitária de louça branca com caixa acoplada e válvula de duplo acionamento, Ravena - P9 - Deca ou equivalente, inclusive assento plástico, tubo de ligação metal cromado com canopla, engate flexível
trançado inox 1/2” x 30cm, anel de vedação e parafusos para fixação</t>
  </si>
  <si>
    <t>Padrão de entrada de energia elétrica, trifásico, entrada subterrânea, a 4 fios, carga instalada em muro de 57001 até 75000W - 220/127V, exclusive derivação de ramal de entrada subterrânea</t>
  </si>
  <si>
    <t>Ponto padrão de luz no teto - considerando eletroduto PVC rígido de 3/4" inclusive conexões (4.5m), fio isolado PVC de 2.5mm2 (16.2m) e caixa PVC 4x4" (1 und)</t>
  </si>
  <si>
    <t>Ponto padrão de luz na parede - considerando eletroduto PVC rígido de 3/4" inclusive conexões (4.5m), fio isolado PVC de 2.5mm2 (16.2m) e caixa pvc 4x2" (1 und)</t>
  </si>
  <si>
    <t>Ponto padrão de tomada para ar refrigerado - considerando eletroduto PVC rígido de 3/4" inclusive conexões (6.0m), fio isolado PVC de 4.0mm2 (21.6m) e caixa PVC 4x2" (1 und)</t>
  </si>
  <si>
    <t>Ponto padrão de interruptor de 2 teclas simples - considerando eletroduto PVC rígido de 3/4" inclusive conexões (3.3m), fio isolado PVC de 2.5mm2 (17.2m) e caixa PVC 4x2" (1 und)</t>
  </si>
  <si>
    <t>Ponto padrão de interruptor de 1 tecla paralelo - considerando eletroduto PVC rígido de 3/4" inclusive conexões (8.5m), fio isolado PVC de 2.5mm2 (28.8m) e caixa PVC 4x2" (1 und)</t>
  </si>
  <si>
    <t>Ponto padrão de interruptor de 1 tecla intermediário - considerando eletroduto PVC rígido de 3/4" inclusive conexões (3.3m), fio isolado PVC de 2.5mm2 (15.8m) e caixa PVC 4x2" (1 und)</t>
  </si>
  <si>
    <t>Ponto padrão de tomada 2 pólos mais terra - considerando eletroduto PVC rígido de 3/4" inclusive conexões (5.0m), fio isolado PVC de 2.5mm2 (16.5m) e caixa pvc 4x2" (1 und)</t>
  </si>
  <si>
    <t>Quadro de distribuição de energia em PVC, de embutir, com 12 divisões modulares com barramento</t>
  </si>
  <si>
    <t>Cabo de cobre termoplástico (PVC) flexível isolado 450/750V, antichama BWF livre de chumbo, 70ºC – 6,0mm2</t>
  </si>
  <si>
    <t>Cabo de cobre termoplástico (PVC) flexível isolado 450/750V, antichama BWF livre de chumbo, 70ºC – 10,0mm2</t>
  </si>
  <si>
    <t>Cabo de cobre termoplástico (PVC) flexível isolado 450/750V, antichama BWF livre de chumbo, 70ºC – 16,0mm2</t>
  </si>
  <si>
    <t>Cabo de cobre termoplástico (PVC) flexível isolado 0,60/1kV, antichama, HEPR 90ºC – 50,0mm2</t>
  </si>
  <si>
    <t>Eletroduto de PVC rígido roscável, diâmetro 3", inclusive conexões</t>
  </si>
  <si>
    <t>Caixa de passagem 100x100x80mm, chapa 18, com tampa parafusada</t>
  </si>
  <si>
    <t>DISJUNTOR TERMOMAGNÉTICO TRIPOLAR , CORRENTE NOMINAL DE 125A - FORNECIMENTO E INSTALAÇÃO. AF_10/2020</t>
  </si>
  <si>
    <t>Mini-Disjuntor tripolar 50A, curva C, 5kA, 127/220Vca, referência Siemens, GE, Schneider ou equivalente</t>
  </si>
  <si>
    <t>Mini-Disjuntor monopolar 16A, curva C, 5kA, 127/220Vca, referência Siemens, GE, Schneider ou equivalente</t>
  </si>
  <si>
    <t>Mini-Disjuntor monopolar 20A, curva C, 5kA, 127/220Vca, referência Siemens, GE, Schneider ou equivalente</t>
  </si>
  <si>
    <t>Mini-Disjuntor monopolar 25A, curva C, 5kA, 127/220Vca, referência Siemens, GE, Schneider ou equivalente</t>
  </si>
  <si>
    <t>Mini-Disjuntor monopolar 40A, curva C, 5kA, 127/220Vca, referência Siemens, GE, Schneider ou equivalente</t>
  </si>
  <si>
    <t>Mini-Disjuntor bipolar 20A, curva C, 5kA, 127/220Vca, referência Siemens, GE, Schneider ou equivalente</t>
  </si>
  <si>
    <t>Mini-Disjuntor bipolar 25A, curva C, 5kA, 127/220Vca, referência Siemens, GE, Schneider ou equivalente</t>
  </si>
  <si>
    <t>Mini-Disjuntor bipolar 40A, curva C, 5kA, 127/220Vca, referência Siemens, GE, Schneider ou equivalente</t>
  </si>
  <si>
    <t>Tomada padrão brasileiro linha branca, NBR 14136 2 polos + terra 20A/250V, com placa 4x2"</t>
  </si>
  <si>
    <t>QUADRO DE DISTRIBUICAO PARA TELEFONE N.3, 40X40X12CM EM CHAPA METALICA , DE EMBUTIR, SEM ACESSORIOS, PADRAO TELEBRAS, FORNECIMENTO E INSTALAÇÃO. AF_11/2019</t>
  </si>
  <si>
    <t>CAIXA ENTERRADA PARA INSTALAÇÕES TELEFÔNICAS TIPO R1, EM ALVENARIA COM BLOCOS DE CONCRETO, DIMENSÕES INTERNAS: 0,35X0,60X0,60 M, EXCLUINDO TAMPÃO. AF_12/2020</t>
  </si>
  <si>
    <t>Extintor de incêndio de água pressurizada capacidade 2A (10L), inclusive suporte de parede universal, parafuso e bucha S8, exclusive placa sinalizadora em PVC fotoluminescente e pintura de sinalização</t>
  </si>
  <si>
    <t>Extintor de incêndio de gás carbônico CO2 5 B:C (6 Kg), inclusive suporte de parede universal, parafuso e bucha S8, exclusive placa sinalizadora em PVC fotoluminescente e pintura de sinalização</t>
  </si>
  <si>
    <t>Extintor de incêndio portátil de pó químico ABC com capacidade 2A-20B:C (6 kg), inclusive suporte de parede universal, parafuso e bucha S8, exclusive placa sinalizadora em PVC fotoluminescente e pintura de
sinalização</t>
  </si>
  <si>
    <t>Pintura em paredes e forros, aplicação manual, com três demãos de tinta esmalte sintético premium, acabamento fosco, referência Suvinil, Coral ou Metalatex, inclusive uma demão de liquido selador acrílico,
referência Suvinil, Coral ou Metalatex ou equivalente</t>
  </si>
  <si>
    <t>Blocos pré-moldados de concreto intertravados tipo pavi-s ou equivalente, esp. de 8 cm e resistência a compressão mínima de 35MPa, assentados sobre colchão de areia 10cm e rejuntamento com pó de pedra</t>
  </si>
  <si>
    <t>Obra: Construção da Sede da Prefeitura Municipal</t>
  </si>
  <si>
    <t>Município: Águia Branca / ES</t>
  </si>
  <si>
    <t>Endereço:  Rua DR. Valery Kosvarovik / Praça dos Três Poderes, Bairro Cristo Rei</t>
  </si>
  <si>
    <t>020713</t>
  </si>
  <si>
    <t>Alvenaria de vedação com blocos cerâmicos furados 9x19x19cm, assentados c/ argamassa de cimento, cal hidratada CH1 e areia no traço 1:0,5:8, preparo com betoneira, juntas 10mm e esp. das paredes
s/revestimento, 9cm (bloco comprado na praça de Vitória, posto obra)</t>
  </si>
  <si>
    <t>Alvenaria de vedação com blocos cerâmicos furados 9x19x19cm, assentados c/ argamassa de cimento, cal hidratada CH1 e areia no traço 1:0,5:8, preparo com betoneira, juntas 10mm e esp. das paredes
s/revestimento, 19cm, bloco deitado (bloco comprado praça de Vitória, posto obra)</t>
  </si>
  <si>
    <t>Verga/contraverga reta de concreto armado moldada in loco 10 x 5 cm, Fck = 15 MPa, inclusive forma, armação e desforma, comprimento inferior a 2.0 metros</t>
  </si>
  <si>
    <t>INSTALAÇÃO DE VIDRO TEMPERADO, E = 6 MM, ENCAIXADO EM PERFIL U. AF_01/2021_PS (Porta de Abrir)</t>
  </si>
  <si>
    <t>Ponto de válvula de descarga, inclusive válvula e acabamento anti-vandalismo cromado referência Docol, Fabrimar e Deca</t>
  </si>
  <si>
    <t>Forma de chapas madeira compensada resinada, esp. 12mm, levando-se em conta a utilização 3 vezes, reforçadas com sarrafos de madeira de 2.5 x 10.0cm (incl material, corte, montagem, escoras em eucalipto
e desforma)</t>
  </si>
  <si>
    <t>040339</t>
  </si>
  <si>
    <r>
      <t xml:space="preserve">Preço Base: </t>
    </r>
    <r>
      <rPr>
        <sz val="14"/>
        <color rgb="FFFF0000"/>
        <rFont val="Calibri"/>
        <family val="2"/>
        <scheme val="minor"/>
      </rPr>
      <t>DER - Edificações, Fevereiro 2025 / DER - Rodovias, Janeiro 2024 sem desoneração / SINAPI-ES , Fevereiro 2025 sem desoneração.</t>
    </r>
  </si>
  <si>
    <t>ELETRODUTO DE PVC RIGIDO 3/4" - ROSCAVEL SEM LUVA</t>
  </si>
  <si>
    <t>AJUDANTE (AJUDANTE PRATICO - SINDUSCON)</t>
  </si>
  <si>
    <t>ELETRICISTA (OFICIAL - SINDUSCON)</t>
  </si>
  <si>
    <t>CAIXA PVC 4 X 2" - IP40 - TIGRE OU EQUIVALENTE</t>
  </si>
  <si>
    <t>ESPELHO 4X2" C/ 1 CONECTOR RJ-45 FEMEA CAT 5E</t>
  </si>
  <si>
    <t>ESPELHO 4X4", LINHA BRANCA COM SUPORTE PARA ENCAIXE</t>
  </si>
  <si>
    <r>
      <t>Data Base:</t>
    </r>
    <r>
      <rPr>
        <sz val="11"/>
        <color theme="1"/>
        <rFont val="Calibri"/>
        <family val="2"/>
        <scheme val="minor"/>
      </rPr>
      <t> FEVEREIRO/2025</t>
    </r>
  </si>
  <si>
    <t>TOMADA TELEFONE COM CONECTOR RJ11</t>
  </si>
  <si>
    <r>
      <t>Unidade:</t>
    </r>
    <r>
      <rPr>
        <sz val="11"/>
        <color theme="1"/>
        <rFont val="Calibri"/>
        <family val="2"/>
        <scheme val="minor"/>
      </rPr>
      <t> m²</t>
    </r>
  </si>
  <si>
    <t>COMPOSIÇÃO 02</t>
  </si>
  <si>
    <t>PEDREIRO (OFICIAL - SINDUSCON)</t>
  </si>
  <si>
    <t>SERVENTE (AUXILIAR DE OBRAS - SINDUSCON)</t>
  </si>
  <si>
    <t>AREIA LAVADA MEDIA</t>
  </si>
  <si>
    <t>M³</t>
  </si>
  <si>
    <t>CIMENTO PORTLAND CP III - 40</t>
  </si>
  <si>
    <t>BRITA 1</t>
  </si>
  <si>
    <t>BRITA 2</t>
  </si>
  <si>
    <t>SARRAFO DE MADEIRA PINUS 10 X 2.5CM</t>
  </si>
  <si>
    <t>TABUA DE MADEIRA PINUS 30 X 2.5 CM (TAIPA DE 1ª)</t>
  </si>
  <si>
    <t>M²</t>
  </si>
  <si>
    <t>PONTALETE DE MADEIRA BRUTA DE 3ª 8.0 X 8.0 CM</t>
  </si>
  <si>
    <t>ACO CA-50 DE 8.0MM - (REFORÇO VIGOTAS)</t>
  </si>
  <si>
    <t>LAJE PRE-FABRICADA TRELIÇADA H= 12CM - SOBRECARGA 300 KG/M2 - PARA PISO - EXCLUSIVE CAPEAMENTO</t>
  </si>
  <si>
    <t>7534 - ORSE</t>
  </si>
  <si>
    <t>ARMADOR (OFICIAL - SINDUSCON)</t>
  </si>
  <si>
    <t>CARPINTEIRO (OFICIAL - SINDUSCON)</t>
  </si>
  <si>
    <t>ARAME RECOZIDO N.18 BWG</t>
  </si>
  <si>
    <t>M²KG</t>
  </si>
  <si>
    <t>ACO CA-60 DE 5.0MM ( DISTRIBUIÇÃO C/ 15cm )</t>
  </si>
  <si>
    <r>
      <t>Serviço:</t>
    </r>
    <r>
      <rPr>
        <sz val="11"/>
        <color theme="1"/>
        <rFont val="Calibri"/>
        <family val="2"/>
        <scheme val="minor"/>
      </rPr>
      <t> Laje pré-fabricada treliçada (H=12cm), sobrecarga 300 Kg/m², vãos até 5.0m, capeamento de 4cm, elemento de enchimento em bloco EPS, espessura final da laje (H=16cm), inclusive armadura de distribuição 5.0 cada 15cm</t>
    </r>
  </si>
  <si>
    <t>COMPOSIÇÃO 03</t>
  </si>
  <si>
    <t> Laje pré-fabricada treliçada (H=12cm), sobrecarga 300 Kg/m², vãos até 5.0m, capeamento de 4cm, elemento de enchimento em bloco EPS, espessura final da laje (H=16cm), inclusive armadura de distribuição 5.0 cada 15cm</t>
  </si>
  <si>
    <t>COMP-03</t>
  </si>
  <si>
    <t>18</t>
  </si>
  <si>
    <t>FONTE / CHAFARIZ ( 18 JATOS )</t>
  </si>
  <si>
    <t>18.1</t>
  </si>
  <si>
    <t>18.1.1</t>
  </si>
  <si>
    <t>18.1.2</t>
  </si>
  <si>
    <t>18.2</t>
  </si>
  <si>
    <t>ESCAVAÇÕES E ATERRO</t>
  </si>
  <si>
    <t>18.2.1</t>
  </si>
  <si>
    <t>18.3</t>
  </si>
  <si>
    <t>ESTRUTURA CASA DE MAQUINAS</t>
  </si>
  <si>
    <t>18.3.1</t>
  </si>
  <si>
    <t>Kg</t>
  </si>
  <si>
    <t>18.3.2</t>
  </si>
  <si>
    <t>Fôrma em chapa de madeira compensada plastificada 12mm para estrutura em geral, 5 reaproveitamentos, reforçada com sarrafos de madeira 2.5x10cm (incl material, corte, montagem, escoras em eucalipto e desforma)</t>
  </si>
  <si>
    <t>18.3.3</t>
  </si>
  <si>
    <t>18.3.4</t>
  </si>
  <si>
    <t>Fornecimento, preparo e aplicação de concreto Fck = 30 MPa (com brita 1 e 2) - (5% de perdas já incluído no custo)</t>
  </si>
  <si>
    <t>Pintura impermeabilizante com igolflex ou equivalente a 3 demãos</t>
  </si>
  <si>
    <t>18.4</t>
  </si>
  <si>
    <t>ESTRUTURA BASE MOLHADA</t>
  </si>
  <si>
    <t>18.4.1</t>
  </si>
  <si>
    <t>Tela de aço soldada Telcon Q-196 ou similar, fornecimento e assentamento.</t>
  </si>
  <si>
    <t>18.4.2</t>
  </si>
  <si>
    <t>18.4.3</t>
  </si>
  <si>
    <t>18.4.4</t>
  </si>
  <si>
    <t>18.4.5</t>
  </si>
  <si>
    <t>Fornecimento e aplicação de concreto USINADO Fck=25 MPa - considerando lançamento MANUAL para INFRA-ESTRUTURA (5% de perdas já incluído no custo)</t>
  </si>
  <si>
    <t>Canaleta no piso em concreto simples com dimensões internas de 20 x 10 cm e grelha em ferro diam. 1/2" a cada 3 cm fixados em cantoneira de 3/4" x 1/8" apoiada sobre requadro em cantoneira de 1" x 3/16"</t>
  </si>
  <si>
    <t>18.5</t>
  </si>
  <si>
    <t>REDE DE ÁGUA</t>
  </si>
  <si>
    <t>18.5.1</t>
  </si>
  <si>
    <t>18.5.2</t>
  </si>
  <si>
    <t>18.5.3</t>
  </si>
  <si>
    <t>18.5.4</t>
  </si>
  <si>
    <t>18.5.5</t>
  </si>
  <si>
    <t>18.5.6</t>
  </si>
  <si>
    <t>CURVA 45 GRAUS, PVC, SOLDÁVEL, DN 25MM, INSTALADO EM RAMAL OU SUB-RAMAL DE ÁGUA - FORNECIMENTO E INSTALAÇÃO. AF_06/2022</t>
  </si>
  <si>
    <t>Adaptador de PVC soldável com flanges livres para caixa d'água, diâmetro 25mm (3/4")</t>
  </si>
  <si>
    <t>SUBTOTAL 18</t>
  </si>
  <si>
    <t xml:space="preserve">CURVA 45 GRAUS, PVC, SOLDÁVEL, DN 110MM, INSTALADO EM RAMAL OU SUB-RAMAL DE ÁGUA - FORNECIMENTO E INSTALAÇÃO. </t>
  </si>
  <si>
    <t xml:space="preserve">TÊ, PVC, SOLDÁVEL, DN 110MM, INSTALADO EM RAMAL OU SUB-RAMAL DE ÁGUA - FORNECIMENTO E INSTALAÇÃO. </t>
  </si>
  <si>
    <t xml:space="preserve">TUBO DE PVC, SOLDÁVEL, DN 110MM, INSTALADO EM RAMAL OU SUB-RAMAL DE ÁGUA - FORNECIMENTO E INSTALAÇÃO. </t>
  </si>
  <si>
    <t xml:space="preserve">REDUÇÃO, PVC, SOLDÁVEL, DN 110MM PARA DN 75MM, INSTALADO EM RAMAL OU SUB-RAMAL DE ÁGUA - FORNECIMENTO E INSTALAÇÃO. </t>
  </si>
  <si>
    <t>CURVA 90 GRAUS, PVC, SOLDÁVEL, DN 75MM, INSTALADO EM PRUMADA DE ÁGUA - FORNECIMENTO E INSTALAÇÃO. AF_06/2022</t>
  </si>
  <si>
    <t>TE, PVC, SOLDÁVEL, DN 75MM, INSTALADO EM PRUMADA DE ÁGUA - FORNECIMENTO E INSTALAÇÃO. AF_06/2022</t>
  </si>
  <si>
    <t xml:space="preserve">REDUÇÃO, PVC, SOLDÁVEL, DN 75MM PARA DN 50MM, INSTALADO EM RAMAL OU SUB-RAMAL DE ÁGUA - FORNECIMENTO E INSTALAÇÃO. </t>
  </si>
  <si>
    <t xml:space="preserve">REDUÇÃO, PVC, SOLDÁVEL, DN 75MM PARA DN 60MM, INSTALADO EM RAMAL OU SUB-RAMAL DE ÁGUA - FORNECIMENTO E INSTALAÇÃO. </t>
  </si>
  <si>
    <t>TE, PVC, SOLDÁVEL, DN 60MM, INSTALADO EM PRUMADA DE ÁGUA - FORNECIMENTO E INSTALAÇÃO. AF_06/2022</t>
  </si>
  <si>
    <t>LUVA DE REDUÇÃO, PVC, SOLDÁVEL, DN 60MM X 50MM, INSTALADO EM PRUMADA DE ÁGUA - FORNECIMENTO E INSTALAÇÃO. AF_06/2022</t>
  </si>
  <si>
    <t>CURVA 90 GRAUS, PVC, SOLDÁVEL, DN 50MM, INSTALADO EM RAMAL DE DISTRIBUIÇÃO DE ÁGUA - FORNECIMENTO E INSTALAÇÃO. AF_06/2022</t>
  </si>
  <si>
    <t>Tubo de PVC rígido soldável marrom, diâm. 75mm (21/2"), inclusive conexões</t>
  </si>
  <si>
    <t>Tubo de PVC rígido soldável marrom, diâm. 60mm (2"), inclusive conexões</t>
  </si>
  <si>
    <t>LUVA DE REDUÇÃO, PVC, SOLDÁVEL, DN 50MM X 25MM, INSTALADO EM PRUMADA DE ÁGUA FORNECIMENTO E INSTALAÇÃO. AF_06/2022</t>
  </si>
  <si>
    <t>Registro de gaveta bruto diam. 20mm (3/4")</t>
  </si>
  <si>
    <t>18.5.7</t>
  </si>
  <si>
    <t>18.5.8</t>
  </si>
  <si>
    <t>18.5.9</t>
  </si>
  <si>
    <t>18.5.10</t>
  </si>
  <si>
    <t>18.5.11</t>
  </si>
  <si>
    <t>18.5.12</t>
  </si>
  <si>
    <t>18.5.13</t>
  </si>
  <si>
    <t>18.5.14</t>
  </si>
  <si>
    <t>18.5.15</t>
  </si>
  <si>
    <t>18.5.16</t>
  </si>
  <si>
    <t>18.5.17</t>
  </si>
  <si>
    <t>18.5.18</t>
  </si>
  <si>
    <t>18.5.19</t>
  </si>
  <si>
    <t>18.5.20</t>
  </si>
  <si>
    <t>18.5.21</t>
  </si>
  <si>
    <t>18.5.22</t>
  </si>
  <si>
    <t>COMP-04</t>
  </si>
  <si>
    <t>SINAPI+MERC.</t>
  </si>
  <si>
    <t>COMP-05</t>
  </si>
  <si>
    <t>COMP-06</t>
  </si>
  <si>
    <t>COMP-07</t>
  </si>
  <si>
    <t>COMP-08</t>
  </si>
  <si>
    <t>COMP-09</t>
  </si>
  <si>
    <t>18.6</t>
  </si>
  <si>
    <t>REDE DE DRENAGEM</t>
  </si>
  <si>
    <t>18.6.1</t>
  </si>
  <si>
    <t>CURVA LONGA, 90 GRAUS, PVC OCRE, JUNTA ELÁSTICA, DN 150 MM, PARA COLETOR PREDIAL DE ESGOTO. AF_06/2022</t>
  </si>
  <si>
    <t>CURVA LONGA 90 GRAUS, PVC, SERIE NORMAL, ESGOTO PREDIAL, DN 50 MM, JUNTA E LÁSTICA, FORNECIDO E INSTALADO EM PRUMADA DE ESGOTO SANITÁRIO OU VENTILAÇÃO. AF_08/2022</t>
  </si>
  <si>
    <t>Ralo sifonado em PVC 100x100mm, com grelha PVC</t>
  </si>
  <si>
    <t>18.6.2</t>
  </si>
  <si>
    <t>18.6.3</t>
  </si>
  <si>
    <t>18.6.4</t>
  </si>
  <si>
    <t>18.6.5</t>
  </si>
  <si>
    <t>18.6.6</t>
  </si>
  <si>
    <t>18.6.7</t>
  </si>
  <si>
    <t>18.6.8</t>
  </si>
  <si>
    <t>18.7</t>
  </si>
  <si>
    <t>SISTEMA ELÉTRICO E DE ILUMINAÇÃO</t>
  </si>
  <si>
    <t>18.7.1</t>
  </si>
  <si>
    <t>Eletroduto PEAD, cor preta, diam. 1.1/2", marca ref. Kanaflex ou equivalente</t>
  </si>
  <si>
    <t xml:space="preserve"> Cabo de cobre termoplástico (PVC) flexível isolado 0,60/1kV, antichama, HEPR 90ºC ? 10,0mm2</t>
  </si>
  <si>
    <t>Caixa de passagem 300x300x120mm, chapa 18, com tampa parafusada</t>
  </si>
  <si>
    <t>Caixa de passagem 150x150x80mm, chapa 18, com tampa parafusada</t>
  </si>
  <si>
    <t>Eletroduto aparente de PVC rígido roscável diâmetro 1", inclusive abraçadeira de fixação</t>
  </si>
  <si>
    <t>CONDULETE DE ALUMÍNIO, TIPO C, PARA ELETRODUTO DE AÇO GALVANIZADO DN 25 MM  (1''), APARENTE - FORNECIMENTO E INSTALAÇÃO. AF_10/2022</t>
  </si>
  <si>
    <t>CONDULETE DE ALUMÍNIO, TIPO E, ELETRODUTO DE AÇO GALVANIZADO DN 25 MM (1''), APARENTE - FORNECIMENTO E INSTALAÇÃO. AF_10/2022</t>
  </si>
  <si>
    <t>Fio de cobre termoplástico, com isolamento para 750V, seção de 2.5 mm2</t>
  </si>
  <si>
    <t>Fio ou cabo de cobre termoplástico, com isolamento para 750V, seção de 4.0 mm2</t>
  </si>
  <si>
    <t>18.7.2</t>
  </si>
  <si>
    <t>18.7.3</t>
  </si>
  <si>
    <t>18.7.4</t>
  </si>
  <si>
    <t>18.7.5</t>
  </si>
  <si>
    <t>18.7.6</t>
  </si>
  <si>
    <t>18.7.7</t>
  </si>
  <si>
    <t>18.7.8</t>
  </si>
  <si>
    <t>18.7.9</t>
  </si>
  <si>
    <t>18.7.10</t>
  </si>
  <si>
    <t>18.8</t>
  </si>
  <si>
    <t>EQUIPAMENTOS</t>
  </si>
  <si>
    <t>18.8.1</t>
  </si>
  <si>
    <t>MERCADO</t>
  </si>
  <si>
    <t>MERC.</t>
  </si>
  <si>
    <t>FORNECIMENTO DE EQUIPAMENTO E MÃO DE OBRA ESPECIFICOS PARA FUNCIONAMENTO DA FONTE. CONJUNTO MOTO BOMBA 5 CV, RALO DE SUCÇÃO CILINDRICO, BICO TIPO SÓLIDO, FIXO VERTICAL. PROJETOR SBAQUATICO BLINDADO DE LED, PAINEL DE COMANDO, FILTRO 75KG, BOMBA 1/2 CAVALO, GRELHA 150, DISPOSITIVO DE RETOR, DISPOSITIVO DE ASPIRAÇÃO, DISPOSITIVO DE REG, BOMBA DRENAGEM 0,5 CV, OZONIZADOR, PAINEL DE COMANDO.</t>
  </si>
  <si>
    <t>18.9</t>
  </si>
  <si>
    <t>ACABAMENTOS E OUTROS</t>
  </si>
  <si>
    <t>18.9.1</t>
  </si>
  <si>
    <t>Grelha largura 20 cm de ferro redondo de 1/2" a cada 3 cm, contorno com barra de ferro de 3/4" x 1/8" e caixilho de cantoneira de 1" x 3/16"</t>
  </si>
  <si>
    <t xml:space="preserve">TAMPÃO FERRO FUNDIDO, ARTICULADO, 120 X 95 - FORNECIMENTO E INSTALAÇÃO. </t>
  </si>
  <si>
    <t xml:space="preserve"> Índice de imperm.c/ manta asfáltica atendendo NBR 9952, asfalto polimerizado esp.3mm, reforç.c/ filme int. polietileno, regul. base c/ arg.1:4 esp.mín.15mm, proteção mec. arg.1:4 esp.20mm e juntas dilat.</t>
  </si>
  <si>
    <r>
      <t xml:space="preserve">Piso cerâmico esmaltado, PEI 5, acabamento semibrilho, dim. 45x45cm, ref. de cor CARGO PLUS WHITE Eliane/equiv. assentado com argamassa de cimento colante, inclusive rejuntamento </t>
    </r>
    <r>
      <rPr>
        <i/>
        <sz val="10"/>
        <rFont val="Arial"/>
        <family val="2"/>
      </rPr>
      <t>( INTERNO CAIXA DAGUA)</t>
    </r>
  </si>
  <si>
    <r>
      <t>Escada tipo marinheiro de tubo de ferro 1" e 3/4", com h=4.20m, para acesso a caixa d'água, inclusive pintura em esmalte sintético, conforme detalhe em projeto</t>
    </r>
    <r>
      <rPr>
        <i/>
        <sz val="10"/>
        <color indexed="8"/>
        <rFont val="Arial"/>
        <family val="2"/>
      </rPr>
      <t xml:space="preserve"> ( adaptado )</t>
    </r>
  </si>
  <si>
    <t>18.9.2</t>
  </si>
  <si>
    <t>18.9.3</t>
  </si>
  <si>
    <t>18.9.4</t>
  </si>
  <si>
    <t>18.9.5</t>
  </si>
  <si>
    <t>18.9.6</t>
  </si>
  <si>
    <t>COMP-10</t>
  </si>
  <si>
    <t>18.10</t>
  </si>
  <si>
    <t>BANCO</t>
  </si>
  <si>
    <t>18.10.1</t>
  </si>
  <si>
    <t>COMP-11</t>
  </si>
  <si>
    <t>BANCO DE ALVENARIA DE BLOCO DE CONCRETO COM REVESTIMENTO EM GRANIZO CINZA ANDORINHA, DIM 2,5 X 0,6 X 0,43</t>
  </si>
  <si>
    <t>COMPOSIÇÃO DE PREÇO UNITÁRIO - 04</t>
  </si>
  <si>
    <t xml:space="preserve">SERVIÇO: </t>
  </si>
  <si>
    <t>UNIDADE:</t>
  </si>
  <si>
    <t>CÓD.</t>
  </si>
  <si>
    <t>ÓRGÃO</t>
  </si>
  <si>
    <t>EQUIPAMENTO</t>
  </si>
  <si>
    <t>COND. DE TRAB.</t>
  </si>
  <si>
    <t>UTILIZAÇÃO</t>
  </si>
  <si>
    <t>CUSTO OPERACIONAL</t>
  </si>
  <si>
    <t>PROD</t>
  </si>
  <si>
    <t>IMPR</t>
  </si>
  <si>
    <t>Vl Hr.Prod</t>
  </si>
  <si>
    <t>Vl Hr. Imp</t>
  </si>
  <si>
    <t>Custo Horário</t>
  </si>
  <si>
    <t>( A ) TOTAL</t>
  </si>
  <si>
    <t>MÃO DE OBRA SUPLEMENTAR</t>
  </si>
  <si>
    <t>UNIDADE</t>
  </si>
  <si>
    <t>QUANTIDADE</t>
  </si>
  <si>
    <t>SALÁRIO HORA</t>
  </si>
  <si>
    <t xml:space="preserve"> CUSTO HORÁRIO</t>
  </si>
  <si>
    <t>ENCANADOR OU BOMBEIRO HIDRÁULICO COM ENCARGOS COMPLEMENTARES</t>
  </si>
  <si>
    <t>AUXILIAR DE ENCANADOR OU BOMBEIRO HIDRÁULICO COM ENCARGOS COMPLEMENTARES</t>
  </si>
  <si>
    <t>( B ) TOTAL</t>
  </si>
  <si>
    <t>( C ) ADICIONAL DE FERRAMENTAS MANUAIS (5%)</t>
  </si>
  <si>
    <t xml:space="preserve"> ( D ) PRODUÇÃO DA EQUIPE</t>
  </si>
  <si>
    <t>CUSTO UNITÁRIO DA EXECUÇÃO ( A + B + C) / D = ( E )</t>
  </si>
  <si>
    <t>MATERIAIS</t>
  </si>
  <si>
    <t>CONSUMO</t>
  </si>
  <si>
    <t>CUSTO UNITÁRIO</t>
  </si>
  <si>
    <t>CUSTO</t>
  </si>
  <si>
    <t>ADESIVO PLASTICO PARA PVC, FRASCO COM *850* GR</t>
  </si>
  <si>
    <t>MERCADO 04</t>
  </si>
  <si>
    <t>SOLUCAO PREPARADORA / LIMPADORA PARA PVC, FRASCO COM 1000 CM3</t>
  </si>
  <si>
    <t>LIXA D'AGUA EM FOLHA, GRAO 100</t>
  </si>
  <si>
    <t>( F ) TOTAL</t>
  </si>
  <si>
    <t>SERVIÇOS</t>
  </si>
  <si>
    <t>( G ) TOTAL</t>
  </si>
  <si>
    <t>TRANSPORTE</t>
  </si>
  <si>
    <t>D.M.T.</t>
  </si>
  <si>
    <t>CONSUMO (t)</t>
  </si>
  <si>
    <t xml:space="preserve">CUSTO TOTAL </t>
  </si>
  <si>
    <t>XP</t>
  </si>
  <si>
    <t>XR</t>
  </si>
  <si>
    <t>( H ) TOTAL</t>
  </si>
  <si>
    <t>CUSTO DIRETO TOTAL  ( E ) + ( F ) + ( G ) + ( H )</t>
  </si>
  <si>
    <t>CUSTO UNITÁRIO TOTAL</t>
  </si>
  <si>
    <t>COMPOSIÇÃO DE PREÇO UNITÁRIO - 05</t>
  </si>
  <si>
    <t>MERCADO 05</t>
  </si>
  <si>
    <t>COMPOSIÇÃO DE PREÇO UNITÁRIO - 06</t>
  </si>
  <si>
    <t>MERCADO 06</t>
  </si>
  <si>
    <t>MERCADO 03</t>
  </si>
  <si>
    <t>COMPOSIÇÃO DE PREÇO UNITÁRIO - 07</t>
  </si>
  <si>
    <t>MERCADO 07</t>
  </si>
  <si>
    <t>COMPOSIÇÃO DE PREÇO UNITÁRIO - 08</t>
  </si>
  <si>
    <t>MERCADO 08</t>
  </si>
  <si>
    <t>COMPOSIÇÃO DE PREÇO UNITÁRIO - 09</t>
  </si>
  <si>
    <t>DER-EDIF.</t>
  </si>
  <si>
    <t>PEDREIRO (OFICIAL - SINDUSCON) (LABOR)</t>
  </si>
  <si>
    <t>010146</t>
  </si>
  <si>
    <t>SERVENTE (AUXILIAR DE OBRAS - SINDUSCON) (LABOR)</t>
  </si>
  <si>
    <t>AREIA LAVADA MEDIA (LABOR)</t>
  </si>
  <si>
    <t>MERCADO 09</t>
  </si>
  <si>
    <t>CIMENTO PORTLAND CP III - 40 (LABOR)</t>
  </si>
  <si>
    <t>FITA DE VEDACAO 18MM X 50M (LABOR)</t>
  </si>
  <si>
    <t>COMPOSIÇÃO DE PREÇO UNITÁRIO - 10</t>
  </si>
  <si>
    <t>DATA BASE DA PLANILHA:</t>
  </si>
  <si>
    <t>GRANITEIRO/MARMORISTA (OFICIAL - SINDUSCON) (LABOR)</t>
  </si>
  <si>
    <t>GRANITO CINZA ANDORINHA POLIDO ESP. 2CM P/ BANCAD (LABOR)</t>
  </si>
  <si>
    <t>ARGAM COLANTE FLEXIVEL AC III P/ ASSENT. PORCELANATO E PEDRAS (GRANITO E MÁRMORE) (LABOR)</t>
  </si>
  <si>
    <t>Alvenaria de blocos de concreto estrut. (14x19x39cm) cheios, c/ resist. mín. compr. 15MPa, assentados c/ arg. de cimento e areia no traço 1:4, esp. juntas 10mm e esp. da parede s/ revest. 14cm</t>
  </si>
  <si>
    <t>Chapisco com argamassa de cimento e areia média ou grossa lavada no traço 1:3, espessura 5 mm</t>
  </si>
  <si>
    <t>Reboco tipo paulista de argamassa de cimento, cal hidratada CH1 e areia lavada traço 1:0.5:6, espessura 25 mm</t>
  </si>
  <si>
    <t>Lastro regularizado e impermeabilizado de concreto não estrutural, espessura de 8 cm</t>
  </si>
  <si>
    <t>COMPOSIÇÃO DE PREÇO UNITÁRIO - 11</t>
  </si>
  <si>
    <t>JANEIRO 2025</t>
  </si>
  <si>
    <t>Fornecimento, preparo e aplicação de concreto Fck = 30 MPa (com brita 1 e 2) - (5% de perdas já incluído
no custo)</t>
  </si>
  <si>
    <t>040315</t>
  </si>
  <si>
    <t xml:space="preserve">ITEM </t>
  </si>
  <si>
    <t xml:space="preserve">DESCRIÇÃO DOS SERVIÇOS </t>
  </si>
  <si>
    <t>REFER.</t>
  </si>
  <si>
    <t>QUANT.</t>
  </si>
  <si>
    <t>COMP (m)</t>
  </si>
  <si>
    <t>LARG (m)</t>
  </si>
  <si>
    <t>ALTURA (m)</t>
  </si>
  <si>
    <t>ESPESSURA (m)</t>
  </si>
  <si>
    <t>L/M</t>
  </si>
  <si>
    <t>SC</t>
  </si>
  <si>
    <t>PER.</t>
  </si>
  <si>
    <t>MÊS</t>
  </si>
  <si>
    <t>ÁREA (m²)</t>
  </si>
  <si>
    <t>VOLUME (m³)</t>
  </si>
  <si>
    <t>FATOR</t>
  </si>
  <si>
    <t>SUB-TOTAL</t>
  </si>
  <si>
    <t>OBSERVAÇÕES GERAIS</t>
  </si>
  <si>
    <t>( FATOR DE 20% PARA AREA ADICIONAL DE TRABALHO):</t>
  </si>
  <si>
    <t>N1</t>
  </si>
  <si>
    <t>Ø 10.0</t>
  </si>
  <si>
    <t>FATOR = KG/m =</t>
  </si>
  <si>
    <t>N2</t>
  </si>
  <si>
    <t>N3</t>
  </si>
  <si>
    <t>Ø 8.0</t>
  </si>
  <si>
    <t>N4</t>
  </si>
  <si>
    <t>N5</t>
  </si>
  <si>
    <t>N6</t>
  </si>
  <si>
    <t>N7</t>
  </si>
  <si>
    <t>N8</t>
  </si>
  <si>
    <t>N9</t>
  </si>
  <si>
    <t>N10</t>
  </si>
  <si>
    <t>N11</t>
  </si>
  <si>
    <t>parede externa</t>
  </si>
  <si>
    <t>parede interna</t>
  </si>
  <si>
    <t>CAIXA DRENAGEM - LADO G</t>
  </si>
  <si>
    <t>CAIXA DRENAGEM - LADO H</t>
  </si>
  <si>
    <t>CAIXA DRENAGEM - LADO I</t>
  </si>
  <si>
    <t>CAIXA DRENAGEM - LADO J</t>
  </si>
  <si>
    <t>FUNDO LAJE MACIÇA</t>
  </si>
  <si>
    <t>PAREDE LADO 1</t>
  </si>
  <si>
    <t>PAREDE LADO 2</t>
  </si>
  <si>
    <t>PAREDE LADO 3</t>
  </si>
  <si>
    <t>PAREDE LADO 4</t>
  </si>
  <si>
    <t>PAREDE INTERNA</t>
  </si>
  <si>
    <t>PAREDE CAX DAGUA</t>
  </si>
  <si>
    <t xml:space="preserve">PAREDE A - DRENAGEM </t>
  </si>
  <si>
    <t xml:space="preserve">PAREDE B - DRENAGEM </t>
  </si>
  <si>
    <t xml:space="preserve">PAREDE C - DRENAGEM </t>
  </si>
  <si>
    <t xml:space="preserve">PAREDE D - DRENAGEM </t>
  </si>
  <si>
    <t>LADO 1</t>
  </si>
  <si>
    <t>LADO 2</t>
  </si>
  <si>
    <t>LADO 3</t>
  </si>
  <si>
    <t>LADO 4</t>
  </si>
  <si>
    <t>LATERAL CALHA 1</t>
  </si>
  <si>
    <t>LATERAL CALHA 2</t>
  </si>
  <si>
    <t>PLATOR</t>
  </si>
  <si>
    <t>LATERAL EXTERNA 1</t>
  </si>
  <si>
    <t>LATERAL EXTERNA 2</t>
  </si>
  <si>
    <t>LATERAL INTERNA 1</t>
  </si>
  <si>
    <t>LATERAL INTERNA 2</t>
  </si>
  <si>
    <t>PLATOR INFERIOR CALHA</t>
  </si>
  <si>
    <t>PAREDES 1 CALHA</t>
  </si>
  <si>
    <t>PAREDES 2 CALHA</t>
  </si>
  <si>
    <t>RAMAL PADRÃO ATÉ TANQUE</t>
  </si>
  <si>
    <t>RAMAL PADRÃO DE AGUA ATÉ O TANQUE ( deu 2 m mas compra de meia vara por perca)</t>
  </si>
  <si>
    <t>CHEGADA AGUA</t>
  </si>
  <si>
    <t>RAMAL BOMBA ATÉ BICOS</t>
  </si>
  <si>
    <t>PROJETO</t>
  </si>
  <si>
    <t>INFERIOR SAIDA CALHA</t>
  </si>
  <si>
    <t>h</t>
  </si>
  <si>
    <t>estimado até rede de drenagem</t>
  </si>
  <si>
    <t xml:space="preserve">RAMAL PADRÃO ATÉ CAIXA </t>
  </si>
  <si>
    <t>RAMAL INTERNO CASA DE MAQUINA</t>
  </si>
  <si>
    <t>RAMAL CASA DE MAQUINA ATÉ AREA MOLHADA</t>
  </si>
  <si>
    <t>AREA MOLHADA</t>
  </si>
  <si>
    <t>CASA DE MAQUINA</t>
  </si>
  <si>
    <t>GRELHA DE 40CM = FATOR 2</t>
  </si>
  <si>
    <t>LADO 1  -  LOCAL BOMBA QUE VAI AP</t>
  </si>
  <si>
    <t>LADO 2  - LOCAL BOMBA QUE VAI AP</t>
  </si>
  <si>
    <t>LADO 1  - CX DAGUA</t>
  </si>
  <si>
    <t>LADO 2 - CX DAGUA</t>
  </si>
  <si>
    <t xml:space="preserve">LADO 1 </t>
  </si>
  <si>
    <t>PLATOR SUPERIOR</t>
  </si>
  <si>
    <t>MEMÓRIA DE CÁLCULO - FONTE</t>
  </si>
  <si>
    <r>
      <t xml:space="preserve">Equipe = 1,00 x 1,00 ( mês ) = 1,00 mês
Total Geral = </t>
    </r>
    <r>
      <rPr>
        <b/>
        <sz val="11"/>
        <color theme="1"/>
        <rFont val="Calibri"/>
        <family val="2"/>
        <scheme val="minor"/>
      </rPr>
      <t>1,00mês</t>
    </r>
    <r>
      <rPr>
        <sz val="11"/>
        <color theme="1"/>
        <rFont val="Calibri"/>
        <family val="2"/>
        <scheme val="minor"/>
      </rPr>
      <t xml:space="preserve">
</t>
    </r>
  </si>
  <si>
    <r>
      <t>Q = 22,76+5,11+15,46+12,32+1,64+3,70+11,50+9,44+5,30+3,10+3,65+6,10 = 100,08m x h=(8,00m) x 16mês = 12.810,24m²
Total Geral =</t>
    </r>
    <r>
      <rPr>
        <b/>
        <sz val="11"/>
        <color theme="1"/>
        <rFont val="Calibri"/>
        <family val="2"/>
        <scheme val="minor"/>
      </rPr>
      <t xml:space="preserve"> 12.810,24m²</t>
    </r>
  </si>
  <si>
    <r>
      <rPr>
        <b/>
        <sz val="11"/>
        <color theme="1"/>
        <rFont val="Calibri"/>
        <family val="2"/>
        <scheme val="minor"/>
      </rPr>
      <t>C23</t>
    </r>
    <r>
      <rPr>
        <sz val="11"/>
        <color theme="1"/>
        <rFont val="Calibri"/>
        <family val="2"/>
        <scheme val="minor"/>
      </rPr>
      <t xml:space="preserve"> = B1/4/5/12/17/25/32/48(3,0 x 8) + B6/7/16(2,0 x 3) + B8/10/15/27(6,0 x 4) + B22(7,0 x 1) + B13/43(5,0 x 2) + B49(2,0 x 1) + B39/40(3,0 x 2) + B50/51(2,0 x 2)  + B21(4,0 x 1) + B36(6,0 x 1) = 93 und x H(10,00 m) = </t>
    </r>
    <r>
      <rPr>
        <b/>
        <sz val="11"/>
        <color theme="1"/>
        <rFont val="Calibri"/>
        <family val="2"/>
        <scheme val="minor"/>
      </rPr>
      <t>930m</t>
    </r>
    <r>
      <rPr>
        <sz val="11"/>
        <color theme="1"/>
        <rFont val="Calibri"/>
        <family val="2"/>
        <scheme val="minor"/>
      </rPr>
      <t xml:space="preserve">
Total Geral =</t>
    </r>
    <r>
      <rPr>
        <b/>
        <sz val="11"/>
        <color theme="1"/>
        <rFont val="Calibri"/>
        <family val="2"/>
        <scheme val="minor"/>
      </rPr>
      <t xml:space="preserve"> 930,00m</t>
    </r>
  </si>
  <si>
    <r>
      <rPr>
        <b/>
        <sz val="11"/>
        <color theme="1"/>
        <rFont val="Calibri"/>
        <family val="2"/>
        <scheme val="minor"/>
      </rPr>
      <t>C26</t>
    </r>
    <r>
      <rPr>
        <sz val="11"/>
        <color theme="1"/>
        <rFont val="Calibri"/>
        <family val="2"/>
        <scheme val="minor"/>
      </rPr>
      <t xml:space="preserve"> = B28/52(2,0x2) + B2/9/20/23/24/26/31/33/34(3,0 x 9) + B30/35(3,0 x 2) + B11/14/18(5,0 x 3) + B29(2,0 x 1) + B19(2,0 x 1) + B38(2,0 x 1) = 58 und x H(10,00m) = </t>
    </r>
    <r>
      <rPr>
        <b/>
        <sz val="11"/>
        <color theme="1"/>
        <rFont val="Calibri"/>
        <family val="2"/>
        <scheme val="minor"/>
      </rPr>
      <t xml:space="preserve">580m
</t>
    </r>
    <r>
      <rPr>
        <sz val="11"/>
        <color theme="1"/>
        <rFont val="Calibri"/>
        <family val="2"/>
        <scheme val="minor"/>
      </rPr>
      <t xml:space="preserve">Total Geral = </t>
    </r>
    <r>
      <rPr>
        <b/>
        <sz val="11"/>
        <color theme="1"/>
        <rFont val="Calibri"/>
        <family val="2"/>
        <scheme val="minor"/>
      </rPr>
      <t>580,00m</t>
    </r>
  </si>
  <si>
    <r>
      <rPr>
        <b/>
        <sz val="11"/>
        <color theme="1"/>
        <rFont val="Calibri"/>
        <family val="2"/>
        <scheme val="minor"/>
      </rPr>
      <t>C33</t>
    </r>
    <r>
      <rPr>
        <sz val="11"/>
        <color theme="1"/>
        <rFont val="Calibri"/>
        <family val="2"/>
        <scheme val="minor"/>
      </rPr>
      <t xml:space="preserve">= B37(2,0 x 1) + B46(2,0 x 1)= 4 und x H(12,00m) = </t>
    </r>
    <r>
      <rPr>
        <b/>
        <sz val="11"/>
        <color theme="1"/>
        <rFont val="Calibri"/>
        <family val="2"/>
        <scheme val="minor"/>
      </rPr>
      <t xml:space="preserve">48,00m
</t>
    </r>
    <r>
      <rPr>
        <sz val="11"/>
        <color theme="1"/>
        <rFont val="Calibri"/>
        <family val="2"/>
        <scheme val="minor"/>
      </rPr>
      <t>Total Geral =</t>
    </r>
    <r>
      <rPr>
        <b/>
        <sz val="11"/>
        <color theme="1"/>
        <rFont val="Calibri"/>
        <family val="2"/>
        <scheme val="minor"/>
      </rPr>
      <t xml:space="preserve"> 48,00m</t>
    </r>
  </si>
  <si>
    <r>
      <rPr>
        <b/>
        <sz val="11"/>
        <color theme="1"/>
        <rFont val="Calibri"/>
        <family val="2"/>
        <scheme val="minor"/>
      </rPr>
      <t>C20</t>
    </r>
    <r>
      <rPr>
        <sz val="11"/>
        <color theme="1"/>
        <rFont val="Calibri"/>
        <family val="2"/>
        <scheme val="minor"/>
      </rPr>
      <t xml:space="preserve"> = B3(5,0 x 1) + B47(2,0 x 1) +
B41/42/44/45(4,0 x 4) =  23 und x H(12,00 m) = </t>
    </r>
    <r>
      <rPr>
        <b/>
        <sz val="11"/>
        <color theme="1"/>
        <rFont val="Calibri"/>
        <family val="2"/>
        <scheme val="minor"/>
      </rPr>
      <t xml:space="preserve">276m
</t>
    </r>
    <r>
      <rPr>
        <sz val="11"/>
        <color theme="1"/>
        <rFont val="Calibri"/>
        <family val="2"/>
        <scheme val="minor"/>
      </rPr>
      <t>Total Geral =</t>
    </r>
    <r>
      <rPr>
        <b/>
        <sz val="11"/>
        <color theme="1"/>
        <rFont val="Calibri"/>
        <family val="2"/>
        <scheme val="minor"/>
      </rPr>
      <t xml:space="preserve"> 276,00m</t>
    </r>
  </si>
  <si>
    <t>3.3</t>
  </si>
  <si>
    <t>030206</t>
  </si>
  <si>
    <t>Aterro manual para regularização do terreno em areia, inclusive adensamento hidráulico e fornecimento do material (máximo de 100m3)</t>
  </si>
  <si>
    <r>
      <t xml:space="preserve">
V = 376,66m² x 0,70m = 263,66m³
Total Geral = </t>
    </r>
    <r>
      <rPr>
        <b/>
        <sz val="8"/>
        <rFont val="Arial"/>
        <family val="2"/>
      </rPr>
      <t>263,66m³</t>
    </r>
  </si>
  <si>
    <t>Fornecimento, dobragem e colocação em fôrma, de armadura CA-50 A média, diâmetro de 6.3 a 10.0mm</t>
  </si>
  <si>
    <r>
      <t xml:space="preserve">A = (2,40 + 40,25 + 6,40 + 7,10 + 0,55 + 9,75) = 66,45 x 2,50 = 166,13m²
TOTAL GERAL = </t>
    </r>
    <r>
      <rPr>
        <b/>
        <sz val="8"/>
        <color theme="1"/>
        <rFont val="Arial"/>
        <family val="2"/>
      </rPr>
      <t>166,13m²</t>
    </r>
  </si>
  <si>
    <t>BANCO DE ALVENARIA DE BLOCO DE CONCRETO COM REVESTIMENTO EM GRANITO CINZA ANDORINHA, DIM 2,5 X 0,6 X 0,43</t>
  </si>
  <si>
    <r>
      <t>VIGAS DO TÉRREO
Área = 258,56M²
LAJES DO TÉRREO
Área = 34,05m²
VIGAS 01 PAVIMENTO
Área = 242,93m²
LAJES DO 01 PAVIMENTO
Área = 18,10m²
VIGAS COBERTURA
Área = 266,44m²
LAJE TÉCNICA
Área = 30,92m²
PILARES
Área = 478,43m²
ESCADA
Área = 30,00m²
TOTAL GERAL=</t>
    </r>
    <r>
      <rPr>
        <b/>
        <sz val="7.5"/>
        <color theme="1"/>
        <rFont val="Arial"/>
        <family val="2"/>
      </rPr>
      <t xml:space="preserve">1.359,43m²
</t>
    </r>
  </si>
  <si>
    <r>
      <t xml:space="preserve">VIGAS TÉRREO
Volume = 15,58m³
LAJES DO TÉRREO
Volume = 26,42m³
VIGAS 01 PAVIMENTO
Volume = 14,49m³
LAJES DO 01 PAVIMENTO
Volume = 18.63m³
VIGAS COBERTURA
Volume = 14,84m³
LAJES COBERTURA
Volume = 21,40m³
PILARES
Volume = 25,44m³
LAJE TÉCNICA 
Volume= 1,84m³
ESCDA
Volume = 3,12m³
TOTAL GERAL = </t>
    </r>
    <r>
      <rPr>
        <b/>
        <sz val="8"/>
        <color theme="1"/>
        <rFont val="Arial"/>
        <family val="2"/>
      </rPr>
      <t>141,76m³</t>
    </r>
    <r>
      <rPr>
        <sz val="8"/>
        <color theme="1"/>
        <rFont val="Arial"/>
        <family val="2"/>
      </rPr>
      <t xml:space="preserve">
</t>
    </r>
  </si>
  <si>
    <r>
      <t xml:space="preserve">Armadura Média = 1.191,02 + 2.515,00 = 3.706,02 Kg
TOTAL GERAL = </t>
    </r>
    <r>
      <rPr>
        <b/>
        <sz val="8"/>
        <color theme="1"/>
        <rFont val="Arial"/>
        <family val="2"/>
      </rPr>
      <t xml:space="preserve">3.706,02 Kg
</t>
    </r>
  </si>
  <si>
    <r>
      <t xml:space="preserve">Armadura Grossa = 1.983,40 + 664,90 = 2.648,30 Kg
TOTAL GERAL = </t>
    </r>
    <r>
      <rPr>
        <b/>
        <sz val="8"/>
        <color theme="1"/>
        <rFont val="Arial"/>
        <family val="2"/>
      </rPr>
      <t xml:space="preserve">2.648,30 Kg
</t>
    </r>
  </si>
  <si>
    <r>
      <t>Armadura Fina = 762,60 + 828,30 = 1.590,90 kg
TOTAL GERAL =</t>
    </r>
    <r>
      <rPr>
        <b/>
        <sz val="8"/>
        <color theme="1"/>
        <rFont val="Arial"/>
        <family val="2"/>
      </rPr>
      <t xml:space="preserve"> 1.590,90 Kg</t>
    </r>
    <r>
      <rPr>
        <sz val="8"/>
        <color theme="1"/>
        <rFont val="Arial"/>
        <family val="2"/>
      </rPr>
      <t xml:space="preserve">
</t>
    </r>
  </si>
  <si>
    <t>Data Base: Fevereiro 2025</t>
  </si>
  <si>
    <t>___________________________________________
EVANDRO G. C. MEDEIROS
Engenheiro Civil
CREA-ES 71.548/D</t>
  </si>
  <si>
    <t>______________________________________
EVANDRO G. C. MEDEIROS
Engenheiro Civil
CREA-ES 71.548/D</t>
  </si>
  <si>
    <t>_____________________________________
EVANDRO G. C. MEDEIROS
Engenheiro Civil
CREA-ES 71.548/D</t>
  </si>
  <si>
    <t>OBS: Os itens da Planilha Orçamentária: 9.2.4 / 14.1.12 / 14.2.1 / 14.2.2 / 17.1.2 / 17.4.2 ao 17.4.9, foram atualizados pelo ìndice INCC = 81,45% ( Outubro 2015 - Data de Elaboração da Planilha, á Fevereiro 2025 - Data Base de Atualização da Planilha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</si>
</sst>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4" formatCode="_-&quot;R$&quot;\ * #,##0.00_-;\-&quot;R$&quot;\ * #,##0.00_-;_-&quot;R$&quot;\ * &quot;-&quot;??_-;_-@_-"/>
    <numFmt numFmtId="43" formatCode="_-* #,##0.00_-;\-* #,##0.00_-;_-* &quot;-&quot;??_-;_-@_-"/>
    <numFmt numFmtId="164" formatCode="0.000"/>
    <numFmt numFmtId="165" formatCode="_(&quot;R$ &quot;* #,##0.00_);_(&quot;R$ &quot;* \(#,##0.00\);_(&quot;R$ &quot;* &quot;-&quot;??_);_(@_)"/>
    <numFmt numFmtId="166" formatCode="_(* #,##0.00_);_(* \(#,##0.00\);_(* &quot;-&quot;??_);_(@_)"/>
    <numFmt numFmtId="167" formatCode="_(* #,##0.00_);_(* \(#,##0.00\);_(* \-??_);_(@_)"/>
    <numFmt numFmtId="168" formatCode="_(&quot;R$&quot;* #,##0.00_);_(&quot;R$&quot;* \(#,##0.00\);_(&quot;R$&quot;* &quot;-&quot;??_);_(@_)"/>
    <numFmt numFmtId="169" formatCode="_(* #,##0.0000_);_(* \(#,##0.0000\);_(* &quot;-&quot;??_);_(@_)"/>
    <numFmt numFmtId="170" formatCode="General_)"/>
    <numFmt numFmtId="171" formatCode="_([$€-2]* #,##0.00_);_([$€-2]* \(#,##0.00\);_([$€-2]* &quot;-&quot;??_)"/>
    <numFmt numFmtId="172" formatCode="_([$€-2]* #,##0.00_);_([$€-2]* \(#,##0.00\);_([$€-2]* \-??_)"/>
    <numFmt numFmtId="173" formatCode="_(&quot;R$ &quot;* #,##0.00_);_(&quot;R$ &quot;* \(#,##0.00\);_(&quot;R$ &quot;* \-??_);_(@_)"/>
    <numFmt numFmtId="174" formatCode="#,##0.00\ ;&quot; (&quot;#,##0.00\);&quot; -&quot;#\ ;@\ "/>
    <numFmt numFmtId="175" formatCode="_(&quot;$&quot;* #,##0_);_(&quot;$&quot;* \(#,##0\);_(&quot;$&quot;* &quot;-&quot;_);_(@_)"/>
    <numFmt numFmtId="176" formatCode="#,##0.00&quot; &quot;;&quot; (&quot;#,##0.00&quot;)&quot;;&quot; -&quot;#&quot; &quot;;@&quot; &quot;"/>
    <numFmt numFmtId="177" formatCode="[$R$-416]&quot; &quot;#,##0.00;[Red]&quot;-&quot;[$R$-416]&quot; &quot;#,##0.00"/>
    <numFmt numFmtId="178" formatCode="0.0000"/>
    <numFmt numFmtId="179" formatCode="#,##0.00000"/>
    <numFmt numFmtId="180" formatCode="0.00_ ;[Red]\-0.00\ "/>
    <numFmt numFmtId="181" formatCode="0.0"/>
    <numFmt numFmtId="182" formatCode="0.0%"/>
  </numFmts>
  <fonts count="106">
    <font>
      <sz val="11"/>
      <color theme="1"/>
      <name val="Calibri"/>
      <family val="2"/>
      <scheme val="minor"/>
    </font>
    <font>
      <sz val="11"/>
      <color indexed="8"/>
      <name val="Calibri"/>
      <family val="2"/>
    </font>
    <font>
      <b/>
      <sz val="11"/>
      <color indexed="8"/>
      <name val="Calibri"/>
      <family val="2"/>
    </font>
    <font>
      <b/>
      <sz val="36"/>
      <color indexed="8"/>
      <name val="Calibri"/>
      <family val="2"/>
    </font>
    <font>
      <sz val="10"/>
      <color indexed="8"/>
      <name val="Arial"/>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0"/>
      <name val="Arial"/>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5"/>
      <color indexed="62"/>
      <name val="Calibri"/>
      <family val="2"/>
    </font>
    <font>
      <b/>
      <sz val="18"/>
      <name val="Times New Roman"/>
      <family val="1"/>
    </font>
    <font>
      <b/>
      <sz val="8"/>
      <name val="Arial"/>
      <family val="2"/>
    </font>
    <font>
      <i/>
      <sz val="8"/>
      <color indexed="12"/>
      <name val="Arial"/>
      <family val="2"/>
    </font>
    <font>
      <sz val="10"/>
      <name val="SimSun"/>
      <family val="2"/>
    </font>
    <font>
      <sz val="10"/>
      <name val="Courier New"/>
      <family val="3"/>
    </font>
    <font>
      <u/>
      <sz val="10"/>
      <color indexed="12"/>
      <name val="Arial"/>
      <family val="2"/>
    </font>
    <font>
      <b/>
      <i/>
      <sz val="16"/>
      <color indexed="8"/>
      <name val="Arial1"/>
    </font>
    <font>
      <sz val="11"/>
      <color theme="1"/>
      <name val="Calibri"/>
      <family val="2"/>
      <scheme val="minor"/>
    </font>
    <font>
      <sz val="11"/>
      <color theme="0"/>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sz val="11"/>
      <color rgb="FF3F3F76"/>
      <name val="Calibri"/>
      <family val="2"/>
      <scheme val="minor"/>
    </font>
    <font>
      <sz val="10"/>
      <color theme="1"/>
      <name val="Arial1"/>
    </font>
    <font>
      <b/>
      <i/>
      <sz val="16"/>
      <color theme="1"/>
      <name val="Arial1"/>
    </font>
    <font>
      <sz val="11"/>
      <color rgb="FF9C0006"/>
      <name val="Calibri"/>
      <family val="2"/>
      <scheme val="minor"/>
    </font>
    <font>
      <sz val="11"/>
      <color rgb="FF9C6500"/>
      <name val="Calibri"/>
      <family val="2"/>
      <scheme val="minor"/>
    </font>
    <font>
      <sz val="11"/>
      <color rgb="FF000000"/>
      <name val="Calibri"/>
      <family val="2"/>
      <charset val="204"/>
    </font>
    <font>
      <sz val="10"/>
      <color theme="1"/>
      <name val="Arial"/>
      <family val="2"/>
    </font>
    <font>
      <sz val="11"/>
      <color theme="1"/>
      <name val="Arial1"/>
    </font>
    <font>
      <b/>
      <i/>
      <u/>
      <sz val="11"/>
      <color theme="1"/>
      <name val="Arial1"/>
    </font>
    <font>
      <b/>
      <sz val="11"/>
      <color rgb="FF3F3F3F"/>
      <name val="Calibri"/>
      <family val="2"/>
      <scheme val="minor"/>
    </font>
    <font>
      <sz val="11"/>
      <color rgb="FF000000"/>
      <name val="Calibri"/>
      <family val="2"/>
      <charset val="1"/>
    </font>
    <font>
      <sz val="11"/>
      <color rgb="FFFF0000"/>
      <name val="Calibri"/>
      <family val="2"/>
      <scheme val="minor"/>
    </font>
    <font>
      <i/>
      <sz val="11"/>
      <color rgb="FF7F7F7F"/>
      <name val="Calibri"/>
      <family val="2"/>
      <scheme val="minor"/>
    </font>
    <font>
      <b/>
      <sz val="18"/>
      <color theme="3"/>
      <name val="Cambria"/>
      <family val="2"/>
      <scheme val="major"/>
    </font>
    <font>
      <b/>
      <sz val="11"/>
      <color theme="1"/>
      <name val="Calibri"/>
      <family val="2"/>
      <scheme val="minor"/>
    </font>
    <font>
      <b/>
      <sz val="16"/>
      <color theme="1"/>
      <name val="Calibri"/>
      <family val="2"/>
      <scheme val="minor"/>
    </font>
    <font>
      <sz val="8"/>
      <color theme="1"/>
      <name val="Calibri"/>
      <family val="2"/>
      <scheme val="minor"/>
    </font>
    <font>
      <sz val="8"/>
      <color theme="1"/>
      <name val="Arial"/>
      <family val="2"/>
    </font>
    <font>
      <b/>
      <sz val="8"/>
      <color theme="1"/>
      <name val="Arial"/>
      <family val="2"/>
    </font>
    <font>
      <sz val="9"/>
      <color rgb="FF000000"/>
      <name val="Arial"/>
      <family val="2"/>
    </font>
    <font>
      <sz val="7"/>
      <color theme="1"/>
      <name val="Arial"/>
      <family val="2"/>
    </font>
    <font>
      <b/>
      <sz val="7"/>
      <color theme="1"/>
      <name val="Arial"/>
      <family val="2"/>
    </font>
    <font>
      <b/>
      <sz val="8"/>
      <color theme="1"/>
      <name val="Calibri"/>
      <family val="2"/>
      <scheme val="minor"/>
    </font>
    <font>
      <sz val="6"/>
      <color theme="1"/>
      <name val="Arial"/>
      <family val="2"/>
    </font>
    <font>
      <b/>
      <sz val="6"/>
      <color theme="1"/>
      <name val="Arial"/>
      <family val="2"/>
    </font>
    <font>
      <sz val="4"/>
      <color theme="1"/>
      <name val="Arial"/>
      <family val="2"/>
    </font>
    <font>
      <sz val="11"/>
      <name val="Calibri"/>
      <family val="2"/>
      <scheme val="minor"/>
    </font>
    <font>
      <sz val="8"/>
      <name val="Arial"/>
      <family val="2"/>
    </font>
    <font>
      <sz val="7.5"/>
      <color theme="1"/>
      <name val="Arial"/>
      <family val="2"/>
    </font>
    <font>
      <b/>
      <sz val="7.5"/>
      <color theme="1"/>
      <name val="Arial"/>
      <family val="2"/>
    </font>
    <font>
      <b/>
      <sz val="10"/>
      <color theme="1"/>
      <name val="Arial"/>
      <family val="2"/>
    </font>
    <font>
      <b/>
      <sz val="14"/>
      <color theme="1"/>
      <name val="Calibri"/>
      <family val="2"/>
      <scheme val="minor"/>
    </font>
    <font>
      <b/>
      <sz val="12"/>
      <color theme="1"/>
      <name val="Calibri"/>
      <family val="2"/>
      <scheme val="minor"/>
    </font>
    <font>
      <b/>
      <sz val="20"/>
      <color theme="1"/>
      <name val="Calibri"/>
      <family val="2"/>
      <scheme val="minor"/>
    </font>
    <font>
      <b/>
      <sz val="60"/>
      <color theme="1"/>
      <name val="Calibri"/>
      <family val="2"/>
      <scheme val="minor"/>
    </font>
    <font>
      <sz val="40"/>
      <color theme="1"/>
      <name val="Calibri"/>
      <family val="2"/>
      <scheme val="minor"/>
    </font>
    <font>
      <b/>
      <sz val="30"/>
      <color theme="1"/>
      <name val="Calibri"/>
      <family val="2"/>
      <scheme val="minor"/>
    </font>
    <font>
      <sz val="20"/>
      <color theme="1"/>
      <name val="Calibri"/>
      <family val="2"/>
      <scheme val="minor"/>
    </font>
    <font>
      <sz val="14"/>
      <color theme="1"/>
      <name val="Calibri"/>
      <family val="2"/>
      <scheme val="minor"/>
    </font>
    <font>
      <sz val="11"/>
      <color rgb="FF000000"/>
      <name val="Calibri"/>
      <family val="2"/>
      <scheme val="minor"/>
    </font>
    <font>
      <sz val="8"/>
      <name val="Calibri"/>
      <family val="2"/>
      <scheme val="minor"/>
    </font>
    <font>
      <sz val="11"/>
      <color theme="1"/>
      <name val="Calibri"/>
      <family val="2"/>
    </font>
    <font>
      <b/>
      <sz val="12"/>
      <name val="Arial"/>
      <family val="2"/>
    </font>
    <font>
      <sz val="12"/>
      <name val="Swis721 BlkCn BT"/>
      <family val="2"/>
    </font>
    <font>
      <b/>
      <sz val="12"/>
      <name val="Swis721 BlkCn BT"/>
      <family val="2"/>
    </font>
    <font>
      <b/>
      <sz val="10"/>
      <name val="Arial"/>
      <family val="2"/>
    </font>
    <font>
      <sz val="10"/>
      <name val="Swis721 Cn BT"/>
      <family val="2"/>
    </font>
    <font>
      <b/>
      <sz val="10"/>
      <name val="Swis721 Cn BT"/>
      <family val="2"/>
    </font>
    <font>
      <b/>
      <sz val="24"/>
      <color theme="1"/>
      <name val="Arial"/>
      <family val="2"/>
    </font>
    <font>
      <sz val="24"/>
      <name val="Calibri"/>
      <family val="2"/>
    </font>
    <font>
      <sz val="24"/>
      <color theme="1"/>
      <name val="Calibri"/>
      <family val="2"/>
      <scheme val="minor"/>
    </font>
    <font>
      <sz val="14"/>
      <color rgb="FFFF0000"/>
      <name val="Calibri"/>
      <family val="2"/>
      <scheme val="minor"/>
    </font>
    <font>
      <i/>
      <sz val="10"/>
      <name val="Arial"/>
      <family val="2"/>
    </font>
    <font>
      <i/>
      <sz val="10"/>
      <color indexed="8"/>
      <name val="Arial"/>
      <family val="2"/>
    </font>
    <font>
      <b/>
      <sz val="14"/>
      <color rgb="FFFF0000"/>
      <name val="Arial"/>
      <family val="2"/>
    </font>
    <font>
      <i/>
      <sz val="9"/>
      <color theme="1"/>
      <name val="Arial"/>
      <family val="2"/>
    </font>
    <font>
      <i/>
      <sz val="9"/>
      <color rgb="FFFF0000"/>
      <name val="Arial"/>
      <family val="2"/>
    </font>
    <font>
      <b/>
      <sz val="10"/>
      <color theme="0"/>
      <name val="Arial"/>
      <family val="2"/>
    </font>
    <font>
      <b/>
      <sz val="7"/>
      <color theme="0"/>
      <name val="Arial"/>
      <family val="2"/>
    </font>
    <font>
      <sz val="10"/>
      <color theme="0"/>
      <name val="Arial"/>
      <family val="2"/>
    </font>
    <font>
      <b/>
      <sz val="11"/>
      <color theme="0"/>
      <name val="Arial"/>
      <family val="2"/>
    </font>
    <font>
      <u/>
      <sz val="10"/>
      <name val="Arial"/>
      <family val="2"/>
    </font>
    <font>
      <sz val="12"/>
      <name val="Arial"/>
      <family val="2"/>
    </font>
    <font>
      <sz val="12"/>
      <color theme="1"/>
      <name val="Calibri"/>
      <family val="2"/>
      <scheme val="minor"/>
    </font>
    <font>
      <b/>
      <sz val="12"/>
      <color theme="0"/>
      <name val="Arial"/>
      <family val="2"/>
    </font>
    <font>
      <b/>
      <sz val="24"/>
      <color indexed="10"/>
      <name val="Arial"/>
      <family val="2"/>
    </font>
    <font>
      <b/>
      <sz val="24"/>
      <color theme="1"/>
      <name val="Calibri"/>
      <family val="2"/>
      <scheme val="minor"/>
    </font>
    <font>
      <b/>
      <sz val="15"/>
      <color theme="1"/>
      <name val="Calibri"/>
      <family val="2"/>
      <scheme val="minor"/>
    </font>
  </fonts>
  <fills count="81">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2"/>
      </patternFill>
    </fill>
    <fill>
      <patternFill patternType="solid">
        <fgColor indexed="47"/>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22"/>
      </patternFill>
    </fill>
    <fill>
      <patternFill patternType="solid">
        <fgColor indexed="55"/>
      </patternFill>
    </fill>
    <fill>
      <patternFill patternType="solid">
        <fgColor indexed="55"/>
        <bgColor indexed="23"/>
      </patternFill>
    </fill>
    <fill>
      <patternFill patternType="gray0625"/>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tint="-0.34998626667073579"/>
        <bgColor indexed="64"/>
      </patternFill>
    </fill>
    <fill>
      <patternFill patternType="solid">
        <fgColor theme="0" tint="-4.9989318521683403E-2"/>
        <bgColor indexed="64"/>
      </patternFill>
    </fill>
    <fill>
      <patternFill patternType="solid">
        <fgColor rgb="FFCFCFCF"/>
        <bgColor indexed="64"/>
      </patternFill>
    </fill>
    <fill>
      <patternFill patternType="solid">
        <fgColor theme="0"/>
        <bgColor indexed="64"/>
      </patternFill>
    </fill>
    <fill>
      <patternFill patternType="solid">
        <fgColor rgb="FFFFFF00"/>
        <bgColor indexed="64"/>
      </patternFill>
    </fill>
    <fill>
      <patternFill patternType="solid">
        <fgColor theme="0"/>
        <bgColor theme="0"/>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1" tint="0.34998626667073579"/>
        <bgColor indexed="64"/>
      </patternFill>
    </fill>
    <fill>
      <patternFill patternType="solid">
        <fgColor indexed="9"/>
        <bgColor indexed="64"/>
      </patternFill>
    </fill>
    <fill>
      <patternFill patternType="solid">
        <fgColor theme="4" tint="-0.249977111117893"/>
        <bgColor indexed="64"/>
      </patternFill>
    </fill>
    <fill>
      <patternFill patternType="solid">
        <fgColor theme="8" tint="0.79998168889431442"/>
        <bgColor indexed="64"/>
      </patternFill>
    </fill>
    <fill>
      <patternFill patternType="solid">
        <fgColor theme="6" tint="0.59999389629810485"/>
        <bgColor indexed="64"/>
      </patternFill>
    </fill>
  </fills>
  <borders count="14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8"/>
      </left>
      <right style="thin">
        <color indexed="8"/>
      </right>
      <top style="double">
        <color indexed="8"/>
      </top>
      <bottom/>
      <diagonal/>
    </border>
    <border>
      <left/>
      <right/>
      <top/>
      <bottom style="thick">
        <color indexed="56"/>
      </bottom>
      <diagonal/>
    </border>
    <border>
      <left/>
      <right/>
      <top/>
      <bottom style="thick">
        <color indexed="49"/>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000000"/>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hair">
        <color rgb="FF000000"/>
      </top>
      <bottom style="hair">
        <color rgb="FF000000"/>
      </bottom>
      <diagonal/>
    </border>
    <border>
      <left style="medium">
        <color rgb="FF000000"/>
      </left>
      <right/>
      <top style="medium">
        <color rgb="FF000000"/>
      </top>
      <bottom style="hair">
        <color rgb="FF000000"/>
      </bottom>
      <diagonal/>
    </border>
    <border>
      <left/>
      <right/>
      <top style="medium">
        <color rgb="FF000000"/>
      </top>
      <bottom style="hair">
        <color rgb="FF000000"/>
      </bottom>
      <diagonal/>
    </border>
    <border>
      <left/>
      <right style="medium">
        <color rgb="FF000000"/>
      </right>
      <top style="medium">
        <color rgb="FF000000"/>
      </top>
      <bottom style="hair">
        <color rgb="FF000000"/>
      </bottom>
      <diagonal/>
    </border>
    <border>
      <left style="medium">
        <color rgb="FF000000"/>
      </left>
      <right/>
      <top style="hair">
        <color rgb="FF000000"/>
      </top>
      <bottom style="hair">
        <color rgb="FF000000"/>
      </bottom>
      <diagonal/>
    </border>
    <border>
      <left/>
      <right style="medium">
        <color rgb="FF000000"/>
      </right>
      <top style="hair">
        <color rgb="FF000000"/>
      </top>
      <bottom style="hair">
        <color rgb="FF000000"/>
      </bottom>
      <diagonal/>
    </border>
    <border>
      <left style="medium">
        <color rgb="FF000000"/>
      </left>
      <right/>
      <top style="hair">
        <color rgb="FF000000"/>
      </top>
      <bottom style="medium">
        <color rgb="FF000000"/>
      </bottom>
      <diagonal/>
    </border>
    <border>
      <left/>
      <right/>
      <top style="hair">
        <color rgb="FF000000"/>
      </top>
      <bottom style="medium">
        <color rgb="FF000000"/>
      </bottom>
      <diagonal/>
    </border>
    <border>
      <left/>
      <right style="medium">
        <color rgb="FF000000"/>
      </right>
      <top style="hair">
        <color rgb="FF000000"/>
      </top>
      <bottom style="medium">
        <color rgb="FF000000"/>
      </bottom>
      <diagonal/>
    </border>
    <border>
      <left style="thin">
        <color rgb="FF000000"/>
      </left>
      <right style="thin">
        <color rgb="FF000000"/>
      </right>
      <top style="thin">
        <color rgb="FF000000"/>
      </top>
      <bottom style="thin">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n">
        <color indexed="64"/>
      </top>
      <bottom style="medium">
        <color indexed="64"/>
      </bottom>
      <diagonal/>
    </border>
    <border>
      <left style="thick">
        <color indexed="64"/>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thick">
        <color indexed="64"/>
      </right>
      <top/>
      <bottom style="thin">
        <color theme="0"/>
      </bottom>
      <diagonal/>
    </border>
    <border>
      <left style="thick">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thick">
        <color indexed="64"/>
      </right>
      <top style="thin">
        <color theme="0"/>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bottom style="thin">
        <color indexed="64"/>
      </bottom>
      <diagonal/>
    </border>
    <border>
      <left style="thick">
        <color indexed="64"/>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style="thin">
        <color theme="0"/>
      </left>
      <right style="thick">
        <color indexed="64"/>
      </right>
      <top/>
      <bottom/>
      <diagonal/>
    </border>
    <border>
      <left style="thin">
        <color indexed="64"/>
      </left>
      <right style="thick">
        <color indexed="64"/>
      </right>
      <top/>
      <bottom/>
      <diagonal/>
    </border>
    <border>
      <left style="thick">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n">
        <color theme="0"/>
      </left>
      <right style="thin">
        <color theme="0"/>
      </right>
      <top style="medium">
        <color indexed="64"/>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indexed="64"/>
      </bottom>
      <diagonal/>
    </border>
    <border>
      <left style="thin">
        <color theme="0"/>
      </left>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ck">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theme="0"/>
      </left>
      <right style="thick">
        <color indexed="64"/>
      </right>
      <top/>
      <bottom style="thick">
        <color indexed="64"/>
      </bottom>
      <diagonal/>
    </border>
    <border>
      <left/>
      <right/>
      <top/>
      <bottom style="medium">
        <color theme="1"/>
      </bottom>
      <diagonal/>
    </border>
    <border>
      <left style="medium">
        <color theme="1"/>
      </left>
      <right style="thin">
        <color theme="0"/>
      </right>
      <top style="medium">
        <color theme="1"/>
      </top>
      <bottom style="thin">
        <color indexed="64"/>
      </bottom>
      <diagonal/>
    </border>
    <border>
      <left style="thin">
        <color theme="0"/>
      </left>
      <right style="thin">
        <color theme="0"/>
      </right>
      <top style="medium">
        <color theme="1"/>
      </top>
      <bottom style="thin">
        <color indexed="64"/>
      </bottom>
      <diagonal/>
    </border>
    <border>
      <left style="thin">
        <color theme="0"/>
      </left>
      <right style="medium">
        <color theme="1"/>
      </right>
      <top style="medium">
        <color theme="1"/>
      </top>
      <bottom style="thin">
        <color indexed="64"/>
      </bottom>
      <diagonal/>
    </border>
    <border>
      <left style="medium">
        <color theme="1"/>
      </left>
      <right/>
      <top style="medium">
        <color indexed="64"/>
      </top>
      <bottom style="medium">
        <color indexed="64"/>
      </bottom>
      <diagonal/>
    </border>
    <border>
      <left/>
      <right style="medium">
        <color theme="1"/>
      </right>
      <top style="medium">
        <color indexed="64"/>
      </top>
      <bottom style="medium">
        <color indexed="64"/>
      </bottom>
      <diagonal/>
    </border>
    <border>
      <left style="medium">
        <color theme="1"/>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theme="1"/>
      </right>
      <top/>
      <bottom/>
      <diagonal/>
    </border>
    <border>
      <left style="medium">
        <color theme="1"/>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theme="1"/>
      </right>
      <top style="medium">
        <color indexed="64"/>
      </top>
      <bottom/>
      <diagonal/>
    </border>
    <border>
      <left style="medium">
        <color theme="1"/>
      </left>
      <right style="thin">
        <color indexed="64"/>
      </right>
      <top/>
      <bottom/>
      <diagonal/>
    </border>
    <border>
      <left style="medium">
        <color theme="1"/>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theme="1"/>
      </right>
      <top/>
      <bottom style="medium">
        <color indexed="64"/>
      </bottom>
      <diagonal/>
    </border>
    <border>
      <left style="thin">
        <color indexed="64"/>
      </left>
      <right/>
      <top style="medium">
        <color indexed="64"/>
      </top>
      <bottom/>
      <diagonal/>
    </border>
    <border>
      <left/>
      <right style="medium">
        <color theme="1"/>
      </right>
      <top style="medium">
        <color indexed="64"/>
      </top>
      <bottom/>
      <diagonal/>
    </border>
    <border>
      <left style="thin">
        <color indexed="64"/>
      </left>
      <right/>
      <top/>
      <bottom style="medium">
        <color indexed="64"/>
      </bottom>
      <diagonal/>
    </border>
    <border>
      <left/>
      <right style="medium">
        <color theme="1"/>
      </right>
      <top/>
      <bottom style="medium">
        <color indexed="64"/>
      </bottom>
      <diagonal/>
    </border>
    <border>
      <left/>
      <right style="medium">
        <color theme="1"/>
      </right>
      <top/>
      <bottom/>
      <diagonal/>
    </border>
    <border>
      <left/>
      <right style="thin">
        <color indexed="64"/>
      </right>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indexed="64"/>
      </right>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thin">
        <color indexed="64"/>
      </right>
      <top style="medium">
        <color indexed="64"/>
      </top>
      <bottom style="medium">
        <color theme="1"/>
      </bottom>
      <diagonal/>
    </border>
    <border>
      <left style="thin">
        <color indexed="64"/>
      </left>
      <right style="medium">
        <color theme="1"/>
      </right>
      <top/>
      <bottom style="medium">
        <color theme="1"/>
      </bottom>
      <diagonal/>
    </border>
  </borders>
  <cellStyleXfs count="2229">
    <xf numFmtId="0" fontId="0" fillId="0" borderId="0"/>
    <xf numFmtId="0" fontId="1" fillId="2" borderId="0" applyNumberFormat="0" applyBorder="0" applyProtection="0">
      <alignment vertical="top"/>
    </xf>
    <xf numFmtId="0" fontId="1" fillId="3" borderId="0" applyNumberFormat="0" applyBorder="0" applyProtection="0">
      <alignment vertical="top"/>
    </xf>
    <xf numFmtId="0" fontId="1" fillId="4" borderId="0" applyNumberFormat="0" applyBorder="0" applyProtection="0">
      <alignment vertical="top"/>
    </xf>
    <xf numFmtId="0" fontId="1" fillId="5" borderId="0" applyNumberFormat="0" applyBorder="0" applyProtection="0">
      <alignment vertical="top"/>
    </xf>
    <xf numFmtId="0" fontId="1" fillId="6" borderId="0" applyNumberFormat="0" applyBorder="0" applyProtection="0">
      <alignment vertical="top"/>
    </xf>
    <xf numFmtId="0" fontId="1" fillId="7" borderId="0" applyNumberFormat="0" applyBorder="0" applyProtection="0">
      <alignment vertical="top"/>
    </xf>
    <xf numFmtId="0" fontId="29" fillId="33" borderId="0" applyNumberFormat="0" applyBorder="0" applyAlignment="0" applyProtection="0"/>
    <xf numFmtId="0" fontId="29" fillId="34" borderId="0" applyNumberFormat="0" applyBorder="0" applyAlignment="0" applyProtection="0"/>
    <xf numFmtId="0" fontId="29" fillId="35" borderId="0" applyNumberFormat="0" applyBorder="0" applyAlignment="0" applyProtection="0"/>
    <xf numFmtId="0" fontId="29" fillId="36"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33"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9" fillId="34"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9" fillId="35"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9" fillId="36"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9" fillId="37"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9" fillId="3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2" borderId="0" applyNumberFormat="0" applyBorder="0" applyProtection="0">
      <alignment vertical="top"/>
    </xf>
    <xf numFmtId="0" fontId="1" fillId="13" borderId="0" applyNumberFormat="0" applyBorder="0" applyProtection="0">
      <alignment vertical="top"/>
    </xf>
    <xf numFmtId="0" fontId="1" fillId="14" borderId="0" applyNumberFormat="0" applyBorder="0" applyProtection="0">
      <alignment vertical="top"/>
    </xf>
    <xf numFmtId="0" fontId="1" fillId="5" borderId="0" applyNumberFormat="0" applyBorder="0" applyProtection="0">
      <alignment vertical="top"/>
    </xf>
    <xf numFmtId="0" fontId="1" fillId="12" borderId="0" applyNumberFormat="0" applyBorder="0" applyProtection="0">
      <alignment vertical="top"/>
    </xf>
    <xf numFmtId="0" fontId="1" fillId="15" borderId="0" applyNumberFormat="0" applyBorder="0" applyProtection="0">
      <alignment vertical="top"/>
    </xf>
    <xf numFmtId="0" fontId="29" fillId="39" borderId="0" applyNumberFormat="0" applyBorder="0" applyAlignment="0" applyProtection="0"/>
    <xf numFmtId="0" fontId="29" fillId="40" borderId="0" applyNumberFormat="0" applyBorder="0" applyAlignment="0" applyProtection="0"/>
    <xf numFmtId="0" fontId="29" fillId="41" borderId="0" applyNumberFormat="0" applyBorder="0" applyAlignment="0" applyProtection="0"/>
    <xf numFmtId="0" fontId="29" fillId="42" borderId="0" applyNumberFormat="0" applyBorder="0" applyAlignment="0" applyProtection="0"/>
    <xf numFmtId="0" fontId="29" fillId="43" borderId="0" applyNumberFormat="0" applyBorder="0" applyAlignment="0" applyProtection="0"/>
    <xf numFmtId="0" fontId="29" fillId="44" borderId="0" applyNumberFormat="0" applyBorder="0" applyAlignment="0" applyProtection="0"/>
    <xf numFmtId="0" fontId="29" fillId="39"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29" fillId="40"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29" fillId="41"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29" fillId="42"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9" fillId="43"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29" fillId="44"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5" fillId="16" borderId="0" applyNumberFormat="0" applyBorder="0" applyProtection="0">
      <alignment vertical="top"/>
    </xf>
    <xf numFmtId="0" fontId="5" fillId="13" borderId="0" applyNumberFormat="0" applyBorder="0" applyProtection="0">
      <alignment vertical="top"/>
    </xf>
    <xf numFmtId="0" fontId="5" fillId="14" borderId="0" applyNumberFormat="0" applyBorder="0" applyProtection="0">
      <alignment vertical="top"/>
    </xf>
    <xf numFmtId="0" fontId="5" fillId="17" borderId="0" applyNumberFormat="0" applyBorder="0" applyProtection="0">
      <alignment vertical="top"/>
    </xf>
    <xf numFmtId="0" fontId="5" fillId="18" borderId="0" applyNumberFormat="0" applyBorder="0" applyProtection="0">
      <alignment vertical="top"/>
    </xf>
    <xf numFmtId="0" fontId="5" fillId="19" borderId="0" applyNumberFormat="0" applyBorder="0" applyProtection="0">
      <alignment vertical="top"/>
    </xf>
    <xf numFmtId="0" fontId="30" fillId="45" borderId="0" applyNumberFormat="0" applyBorder="0" applyAlignment="0" applyProtection="0"/>
    <xf numFmtId="0" fontId="30" fillId="46" borderId="0" applyNumberFormat="0" applyBorder="0" applyAlignment="0" applyProtection="0"/>
    <xf numFmtId="0" fontId="30" fillId="47" borderId="0" applyNumberFormat="0" applyBorder="0" applyAlignment="0" applyProtection="0"/>
    <xf numFmtId="0" fontId="30" fillId="48" borderId="0" applyNumberFormat="0" applyBorder="0" applyAlignment="0" applyProtection="0"/>
    <xf numFmtId="0" fontId="30" fillId="49" borderId="0" applyNumberFormat="0" applyBorder="0" applyAlignment="0" applyProtection="0"/>
    <xf numFmtId="0" fontId="30" fillId="50" borderId="0" applyNumberFormat="0" applyBorder="0" applyAlignment="0" applyProtection="0"/>
    <xf numFmtId="0" fontId="30" fillId="45" borderId="0" applyNumberFormat="0" applyBorder="0" applyAlignment="0" applyProtection="0"/>
    <xf numFmtId="0" fontId="5" fillId="16" borderId="0" applyNumberFormat="0" applyBorder="0" applyAlignment="0" applyProtection="0"/>
    <xf numFmtId="0" fontId="30" fillId="46" borderId="0" applyNumberFormat="0" applyBorder="0" applyAlignment="0" applyProtection="0"/>
    <xf numFmtId="0" fontId="5" fillId="13" borderId="0" applyNumberFormat="0" applyBorder="0" applyAlignment="0" applyProtection="0"/>
    <xf numFmtId="0" fontId="30" fillId="47" borderId="0" applyNumberFormat="0" applyBorder="0" applyAlignment="0" applyProtection="0"/>
    <xf numFmtId="0" fontId="5" fillId="14" borderId="0" applyNumberFormat="0" applyBorder="0" applyAlignment="0" applyProtection="0"/>
    <xf numFmtId="0" fontId="30" fillId="48" borderId="0" applyNumberFormat="0" applyBorder="0" applyAlignment="0" applyProtection="0"/>
    <xf numFmtId="0" fontId="5" fillId="17" borderId="0" applyNumberFormat="0" applyBorder="0" applyAlignment="0" applyProtection="0"/>
    <xf numFmtId="0" fontId="30" fillId="49" borderId="0" applyNumberFormat="0" applyBorder="0" applyAlignment="0" applyProtection="0"/>
    <xf numFmtId="0" fontId="5" fillId="18" borderId="0" applyNumberFormat="0" applyBorder="0" applyAlignment="0" applyProtection="0"/>
    <xf numFmtId="0" fontId="30" fillId="50" borderId="0" applyNumberFormat="0" applyBorder="0" applyAlignment="0" applyProtection="0"/>
    <xf numFmtId="0" fontId="5" fillId="19" borderId="0" applyNumberFormat="0" applyBorder="0" applyAlignment="0" applyProtection="0"/>
    <xf numFmtId="0" fontId="5" fillId="20" borderId="0" applyNumberFormat="0" applyBorder="0" applyProtection="0">
      <alignment vertical="top"/>
    </xf>
    <xf numFmtId="0" fontId="5" fillId="21" borderId="0" applyNumberFormat="0" applyBorder="0" applyProtection="0">
      <alignment vertical="top"/>
    </xf>
    <xf numFmtId="0" fontId="5" fillId="22" borderId="0" applyNumberFormat="0" applyBorder="0" applyProtection="0">
      <alignment vertical="top"/>
    </xf>
    <xf numFmtId="0" fontId="5" fillId="17" borderId="0" applyNumberFormat="0" applyBorder="0" applyProtection="0">
      <alignment vertical="top"/>
    </xf>
    <xf numFmtId="0" fontId="5" fillId="18" borderId="0" applyNumberFormat="0" applyBorder="0" applyProtection="0">
      <alignment vertical="top"/>
    </xf>
    <xf numFmtId="0" fontId="5" fillId="23" borderId="0" applyNumberFormat="0" applyBorder="0" applyProtection="0">
      <alignment vertical="top"/>
    </xf>
    <xf numFmtId="0" fontId="11" fillId="3" borderId="0" applyNumberFormat="0" applyBorder="0" applyProtection="0">
      <alignment vertical="top"/>
    </xf>
    <xf numFmtId="0" fontId="31" fillId="51" borderId="0" applyNumberFormat="0" applyBorder="0" applyAlignment="0" applyProtection="0"/>
    <xf numFmtId="0" fontId="6" fillId="8" borderId="0" applyNumberFormat="0" applyBorder="0" applyAlignment="0" applyProtection="0"/>
    <xf numFmtId="0" fontId="6" fillId="4"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32" fillId="0" borderId="29" applyNumberFormat="0" applyFill="0" applyAlignment="0" applyProtection="0"/>
    <xf numFmtId="0" fontId="33" fillId="0" borderId="30" applyNumberFormat="0" applyFill="0" applyAlignment="0" applyProtection="0"/>
    <xf numFmtId="0" fontId="34" fillId="0" borderId="31" applyNumberFormat="0" applyFill="0" applyAlignment="0" applyProtection="0"/>
    <xf numFmtId="0" fontId="34" fillId="0" borderId="0" applyNumberFormat="0" applyFill="0" applyBorder="0" applyAlignment="0" applyProtection="0"/>
    <xf numFmtId="0" fontId="7" fillId="24" borderId="4" applyNumberFormat="0" applyProtection="0">
      <alignment vertical="top"/>
    </xf>
    <xf numFmtId="0" fontId="7" fillId="24" borderId="4" applyNumberFormat="0" applyProtection="0">
      <alignment vertical="top"/>
    </xf>
    <xf numFmtId="0" fontId="7" fillId="24" borderId="4" applyNumberFormat="0" applyProtection="0">
      <alignment vertical="top"/>
    </xf>
    <xf numFmtId="0" fontId="7" fillId="24" borderId="4" applyNumberFormat="0" applyProtection="0">
      <alignment vertical="top"/>
    </xf>
    <xf numFmtId="0" fontId="35" fillId="52" borderId="32" applyNumberFormat="0" applyAlignment="0" applyProtection="0"/>
    <xf numFmtId="0" fontId="35" fillId="52" borderId="32" applyNumberFormat="0" applyAlignment="0" applyProtection="0"/>
    <xf numFmtId="0" fontId="7" fillId="24" borderId="4" applyNumberFormat="0" applyAlignment="0" applyProtection="0"/>
    <xf numFmtId="0" fontId="7" fillId="24" borderId="4" applyNumberFormat="0" applyAlignment="0" applyProtection="0"/>
    <xf numFmtId="0" fontId="7" fillId="24" borderId="4" applyNumberFormat="0" applyAlignment="0" applyProtection="0"/>
    <xf numFmtId="0" fontId="7" fillId="24" borderId="4" applyNumberFormat="0" applyAlignment="0" applyProtection="0"/>
    <xf numFmtId="0" fontId="35" fillId="52" borderId="32" applyNumberFormat="0" applyAlignment="0" applyProtection="0"/>
    <xf numFmtId="0" fontId="35" fillId="52" borderId="32" applyNumberFormat="0" applyAlignment="0" applyProtection="0"/>
    <xf numFmtId="0" fontId="7" fillId="25" borderId="4" applyNumberFormat="0" applyAlignment="0" applyProtection="0"/>
    <xf numFmtId="0" fontId="7" fillId="25" borderId="4" applyNumberFormat="0" applyAlignment="0" applyProtection="0"/>
    <xf numFmtId="0" fontId="7" fillId="25" borderId="4" applyNumberFormat="0" applyAlignment="0" applyProtection="0"/>
    <xf numFmtId="0" fontId="7" fillId="25" borderId="4" applyNumberFormat="0" applyAlignment="0" applyProtection="0"/>
    <xf numFmtId="0" fontId="7" fillId="25" borderId="4" applyNumberFormat="0" applyAlignment="0" applyProtection="0"/>
    <xf numFmtId="0" fontId="36" fillId="53" borderId="33" applyNumberFormat="0" applyAlignment="0" applyProtection="0"/>
    <xf numFmtId="0" fontId="8" fillId="26" borderId="5" applyNumberFormat="0" applyAlignment="0" applyProtection="0"/>
    <xf numFmtId="0" fontId="8" fillId="27" borderId="5" applyNumberFormat="0" applyAlignment="0" applyProtection="0"/>
    <xf numFmtId="0" fontId="8" fillId="26" borderId="5" applyNumberFormat="0" applyAlignment="0" applyProtection="0"/>
    <xf numFmtId="0" fontId="8" fillId="26" borderId="5" applyNumberFormat="0" applyAlignment="0" applyProtection="0"/>
    <xf numFmtId="0" fontId="37" fillId="0" borderId="34" applyNumberFormat="0" applyFill="0" applyAlignment="0" applyProtection="0"/>
    <xf numFmtId="0" fontId="37" fillId="0" borderId="34" applyNumberFormat="0" applyFill="0" applyAlignment="0" applyProtection="0"/>
    <xf numFmtId="0" fontId="9" fillId="0" borderId="6" applyNumberFormat="0" applyFill="0" applyAlignment="0" applyProtection="0"/>
    <xf numFmtId="0" fontId="8" fillId="27" borderId="5" applyNumberFormat="0" applyProtection="0">
      <alignment vertical="top"/>
    </xf>
    <xf numFmtId="170" fontId="22" fillId="0" borderId="0" applyNumberFormat="0" applyFill="0" applyBorder="0">
      <alignment horizontal="left" vertical="center"/>
      <protection locked="0"/>
    </xf>
    <xf numFmtId="0" fontId="30" fillId="54" borderId="0" applyNumberFormat="0" applyBorder="0" applyAlignment="0" applyProtection="0"/>
    <xf numFmtId="0" fontId="30" fillId="55" borderId="0" applyNumberFormat="0" applyBorder="0" applyAlignment="0" applyProtection="0"/>
    <xf numFmtId="0" fontId="30" fillId="56" borderId="0" applyNumberFormat="0" applyBorder="0" applyAlignment="0" applyProtection="0"/>
    <xf numFmtId="0" fontId="30" fillId="57" borderId="0" applyNumberFormat="0" applyBorder="0" applyAlignment="0" applyProtection="0"/>
    <xf numFmtId="0" fontId="30" fillId="58" borderId="0" applyNumberFormat="0" applyBorder="0" applyAlignment="0" applyProtection="0"/>
    <xf numFmtId="0" fontId="30" fillId="59" borderId="0" applyNumberFormat="0" applyBorder="0" applyAlignment="0" applyProtection="0"/>
    <xf numFmtId="0" fontId="31" fillId="51" borderId="0" applyNumberFormat="0" applyBorder="0" applyAlignment="0" applyProtection="0"/>
    <xf numFmtId="170" fontId="23" fillId="28" borderId="0" applyNumberFormat="0" applyBorder="0">
      <alignment horizontal="center" vertical="center"/>
    </xf>
    <xf numFmtId="170" fontId="23" fillId="28" borderId="0" applyNumberFormat="0" applyBorder="0">
      <alignment horizontal="center" vertical="center"/>
    </xf>
    <xf numFmtId="170" fontId="24" fillId="28" borderId="7" applyNumberFormat="0" applyFill="0" applyBorder="0" applyProtection="0">
      <alignment horizontal="left"/>
      <protection locked="0"/>
    </xf>
    <xf numFmtId="0" fontId="30" fillId="54" borderId="0" applyNumberFormat="0" applyBorder="0" applyAlignment="0" applyProtection="0"/>
    <xf numFmtId="0" fontId="5" fillId="20" borderId="0" applyNumberFormat="0" applyBorder="0" applyAlignment="0" applyProtection="0"/>
    <xf numFmtId="0" fontId="30" fillId="55" borderId="0" applyNumberFormat="0" applyBorder="0" applyAlignment="0" applyProtection="0"/>
    <xf numFmtId="0" fontId="5" fillId="21" borderId="0" applyNumberFormat="0" applyBorder="0" applyAlignment="0" applyProtection="0"/>
    <xf numFmtId="0" fontId="30" fillId="56" borderId="0" applyNumberFormat="0" applyBorder="0" applyAlignment="0" applyProtection="0"/>
    <xf numFmtId="0" fontId="5" fillId="22" borderId="0" applyNumberFormat="0" applyBorder="0" applyAlignment="0" applyProtection="0"/>
    <xf numFmtId="0" fontId="30" fillId="57" borderId="0" applyNumberFormat="0" applyBorder="0" applyAlignment="0" applyProtection="0"/>
    <xf numFmtId="0" fontId="5" fillId="17" borderId="0" applyNumberFormat="0" applyBorder="0" applyAlignment="0" applyProtection="0"/>
    <xf numFmtId="0" fontId="30" fillId="58" borderId="0" applyNumberFormat="0" applyBorder="0" applyAlignment="0" applyProtection="0"/>
    <xf numFmtId="0" fontId="5" fillId="18" borderId="0" applyNumberFormat="0" applyBorder="0" applyAlignment="0" applyProtection="0"/>
    <xf numFmtId="0" fontId="30" fillId="59" borderId="0" applyNumberFormat="0" applyBorder="0" applyAlignment="0" applyProtection="0"/>
    <xf numFmtId="0" fontId="5" fillId="23" borderId="0" applyNumberFormat="0" applyBorder="0" applyAlignment="0" applyProtection="0"/>
    <xf numFmtId="0" fontId="38" fillId="60" borderId="32" applyNumberFormat="0" applyAlignment="0" applyProtection="0"/>
    <xf numFmtId="0" fontId="38" fillId="60" borderId="32" applyNumberFormat="0" applyAlignment="0" applyProtection="0"/>
    <xf numFmtId="0" fontId="10" fillId="11" borderId="4" applyNumberFormat="0" applyAlignment="0" applyProtection="0"/>
    <xf numFmtId="0" fontId="10" fillId="11" borderId="4" applyNumberFormat="0" applyAlignment="0" applyProtection="0"/>
    <xf numFmtId="0" fontId="10" fillId="11" borderId="4" applyNumberFormat="0" applyAlignment="0" applyProtection="0"/>
    <xf numFmtId="0" fontId="10" fillId="11" borderId="4" applyNumberFormat="0" applyAlignment="0" applyProtection="0"/>
    <xf numFmtId="0" fontId="38" fillId="60" borderId="32" applyNumberFormat="0" applyAlignment="0" applyProtection="0"/>
    <xf numFmtId="0" fontId="38" fillId="60" borderId="32" applyNumberFormat="0" applyAlignment="0" applyProtection="0"/>
    <xf numFmtId="0" fontId="10" fillId="9" borderId="4" applyNumberFormat="0" applyAlignment="0" applyProtection="0"/>
    <xf numFmtId="0" fontId="10" fillId="9" borderId="4" applyNumberFormat="0" applyAlignment="0" applyProtection="0"/>
    <xf numFmtId="0" fontId="10" fillId="9" borderId="4" applyNumberFormat="0" applyAlignment="0" applyProtection="0"/>
    <xf numFmtId="0" fontId="10" fillId="9" borderId="4" applyNumberFormat="0" applyAlignment="0" applyProtection="0"/>
    <xf numFmtId="0" fontId="10" fillId="9" borderId="4" applyNumberFormat="0" applyAlignment="0" applyProtection="0"/>
    <xf numFmtId="0" fontId="4"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4" fillId="0" borderId="0">
      <alignment vertical="top"/>
    </xf>
    <xf numFmtId="0" fontId="4" fillId="0" borderId="0">
      <alignment vertical="top"/>
    </xf>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2" fontId="25" fillId="0" borderId="0" applyFill="0" applyBorder="0" applyAlignment="0" applyProtection="0"/>
    <xf numFmtId="171" fontId="13" fillId="0" borderId="0" applyFont="0" applyFill="0" applyBorder="0" applyAlignment="0" applyProtection="0"/>
    <xf numFmtId="176" fontId="39" fillId="0" borderId="0"/>
    <xf numFmtId="0" fontId="16" fillId="0" borderId="0" applyNumberFormat="0" applyFill="0" applyBorder="0" applyProtection="0">
      <alignment vertical="top"/>
    </xf>
    <xf numFmtId="0" fontId="6" fillId="4" borderId="0" applyNumberFormat="0" applyBorder="0" applyProtection="0">
      <alignment vertical="top"/>
    </xf>
    <xf numFmtId="0" fontId="40" fillId="0" borderId="0">
      <alignment horizontal="center"/>
    </xf>
    <xf numFmtId="0" fontId="17" fillId="0" borderId="0" applyNumberFormat="0" applyFill="0" applyBorder="0" applyProtection="0">
      <alignment vertical="top"/>
    </xf>
    <xf numFmtId="0" fontId="19" fillId="0" borderId="2" applyNumberFormat="0" applyFill="0" applyProtection="0">
      <alignment vertical="top"/>
    </xf>
    <xf numFmtId="0" fontId="20" fillId="0" borderId="3" applyNumberFormat="0" applyFill="0" applyProtection="0">
      <alignment vertical="top"/>
    </xf>
    <xf numFmtId="0" fontId="20" fillId="0" borderId="0" applyNumberFormat="0" applyFill="0" applyBorder="0" applyProtection="0">
      <alignment vertical="top"/>
    </xf>
    <xf numFmtId="0" fontId="28" fillId="0" borderId="0">
      <alignment horizontal="center"/>
    </xf>
    <xf numFmtId="0" fontId="40" fillId="0" borderId="0">
      <alignment horizontal="center" textRotation="90"/>
    </xf>
    <xf numFmtId="0" fontId="27" fillId="0" borderId="0" applyNumberFormat="0" applyFill="0" applyBorder="0" applyAlignment="0" applyProtection="0"/>
    <xf numFmtId="0" fontId="41" fillId="61" borderId="0" applyNumberFormat="0" applyBorder="0" applyAlignment="0" applyProtection="0"/>
    <xf numFmtId="0" fontId="41" fillId="61" borderId="0" applyNumberFormat="0" applyBorder="0" applyAlignment="0" applyProtection="0"/>
    <xf numFmtId="0" fontId="11" fillId="3" borderId="0" applyNumberFormat="0" applyBorder="0" applyAlignment="0" applyProtection="0"/>
    <xf numFmtId="0" fontId="10" fillId="7" borderId="4" applyNumberFormat="0" applyProtection="0">
      <alignment vertical="top"/>
    </xf>
    <xf numFmtId="0" fontId="10" fillId="7" borderId="4" applyNumberFormat="0" applyProtection="0">
      <alignment vertical="top"/>
    </xf>
    <xf numFmtId="0" fontId="10" fillId="7" borderId="4" applyNumberFormat="0" applyProtection="0">
      <alignment vertical="top"/>
    </xf>
    <xf numFmtId="0" fontId="10" fillId="7" borderId="4" applyNumberFormat="0" applyProtection="0">
      <alignment vertical="top"/>
    </xf>
    <xf numFmtId="0" fontId="9" fillId="0" borderId="6" applyNumberFormat="0" applyFill="0" applyProtection="0">
      <alignment vertical="top"/>
    </xf>
    <xf numFmtId="0" fontId="13" fillId="0" borderId="0">
      <alignment horizontal="centerContinuous" vertical="justify"/>
    </xf>
    <xf numFmtId="0" fontId="13" fillId="0" borderId="0">
      <alignment horizontal="centerContinuous" vertical="justify"/>
    </xf>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8"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8"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25" fillId="0" borderId="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25" fillId="0" borderId="0" applyFill="0" applyBorder="0" applyAlignment="0" applyProtection="0"/>
    <xf numFmtId="165" fontId="13" fillId="0" borderId="0" applyFont="0" applyFill="0" applyBorder="0" applyAlignment="0" applyProtection="0"/>
    <xf numFmtId="173" fontId="13" fillId="0" borderId="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73" fontId="13" fillId="0" borderId="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73" fontId="25" fillId="0" borderId="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73" fontId="25" fillId="0" borderId="0" applyFill="0" applyBorder="0" applyAlignment="0" applyProtection="0"/>
    <xf numFmtId="165"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73" fontId="13" fillId="0" borderId="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73" fontId="13" fillId="0" borderId="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4" fontId="13" fillId="0" borderId="0" applyFont="0" applyFill="0" applyBorder="0" applyAlignment="0" applyProtection="0"/>
    <xf numFmtId="169" fontId="13" fillId="0" borderId="0" applyFont="0" applyFill="0" applyBorder="0" applyAlignment="0" applyProtection="0"/>
    <xf numFmtId="169" fontId="13" fillId="0" borderId="0" applyFont="0" applyFill="0" applyBorder="0" applyAlignment="0" applyProtection="0"/>
    <xf numFmtId="174" fontId="13" fillId="0" borderId="0" applyFill="0" applyBorder="0" applyAlignment="0" applyProtection="0"/>
    <xf numFmtId="174" fontId="13" fillId="0" borderId="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4" fontId="13" fillId="0" borderId="0" applyFont="0" applyFill="0" applyBorder="0" applyAlignment="0" applyProtection="0"/>
    <xf numFmtId="168" fontId="13" fillId="0" borderId="0" applyFont="0" applyFill="0" applyBorder="0" applyAlignment="0" applyProtection="0"/>
    <xf numFmtId="0" fontId="12" fillId="29" borderId="0" applyNumberFormat="0" applyBorder="0" applyAlignment="0" applyProtection="0"/>
    <xf numFmtId="0" fontId="12" fillId="30" borderId="0" applyNumberFormat="0" applyBorder="0" applyAlignment="0" applyProtection="0"/>
    <xf numFmtId="0" fontId="12" fillId="29" borderId="0" applyNumberFormat="0" applyBorder="0" applyAlignment="0" applyProtection="0"/>
    <xf numFmtId="0" fontId="12" fillId="29" borderId="0" applyNumberFormat="0" applyBorder="0" applyAlignment="0" applyProtection="0"/>
    <xf numFmtId="0" fontId="12" fillId="30" borderId="0" applyNumberFormat="0" applyBorder="0" applyProtection="0">
      <alignment vertical="top"/>
    </xf>
    <xf numFmtId="0" fontId="42" fillId="62" borderId="0"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43"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3" fillId="0" borderId="0"/>
    <xf numFmtId="0" fontId="13" fillId="0" borderId="0"/>
    <xf numFmtId="0" fontId="13" fillId="0" borderId="0"/>
    <xf numFmtId="0" fontId="13"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9"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9"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4" fillId="0" borderId="0"/>
    <xf numFmtId="0" fontId="13" fillId="0" borderId="0"/>
    <xf numFmtId="0" fontId="13" fillId="0" borderId="0"/>
    <xf numFmtId="0" fontId="13" fillId="0" borderId="0"/>
    <xf numFmtId="0" fontId="13" fillId="0" borderId="0"/>
    <xf numFmtId="0" fontId="29" fillId="0" borderId="0"/>
    <xf numFmtId="0" fontId="29"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13" fillId="0" borderId="0"/>
    <xf numFmtId="0" fontId="13" fillId="0" borderId="0"/>
    <xf numFmtId="0" fontId="13" fillId="0" borderId="0">
      <alignment vertical="top"/>
    </xf>
    <xf numFmtId="0" fontId="13"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top"/>
    </xf>
    <xf numFmtId="0" fontId="13" fillId="0" borderId="0"/>
    <xf numFmtId="0" fontId="13" fillId="0" borderId="0"/>
    <xf numFmtId="0" fontId="29" fillId="0" borderId="0"/>
    <xf numFmtId="0" fontId="13" fillId="0" borderId="0"/>
    <xf numFmtId="0" fontId="13" fillId="0" borderId="0"/>
    <xf numFmtId="0" fontId="26" fillId="0" borderId="0"/>
    <xf numFmtId="0" fontId="13" fillId="0" borderId="0">
      <alignment vertical="top"/>
    </xf>
    <xf numFmtId="0" fontId="13" fillId="0" borderId="0">
      <alignment vertical="top"/>
    </xf>
    <xf numFmtId="0" fontId="13" fillId="0" borderId="0"/>
    <xf numFmtId="0" fontId="13" fillId="0" borderId="0"/>
    <xf numFmtId="0" fontId="29"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4" fillId="0" borderId="0">
      <alignment vertical="top"/>
    </xf>
    <xf numFmtId="0" fontId="13" fillId="0" borderId="0"/>
    <xf numFmtId="0" fontId="13"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3" fillId="0" borderId="0"/>
    <xf numFmtId="0" fontId="13"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3" fillId="0" borderId="0"/>
    <xf numFmtId="0" fontId="13"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3" fillId="0" borderId="0"/>
    <xf numFmtId="0" fontId="13" fillId="0" borderId="0"/>
    <xf numFmtId="0" fontId="26" fillId="0" borderId="0"/>
    <xf numFmtId="0" fontId="26" fillId="0" borderId="0"/>
    <xf numFmtId="0" fontId="26" fillId="0" borderId="0"/>
    <xf numFmtId="0" fontId="26" fillId="0" borderId="0"/>
    <xf numFmtId="0" fontId="26" fillId="0" borderId="0"/>
    <xf numFmtId="0" fontId="13" fillId="0" borderId="0"/>
    <xf numFmtId="0" fontId="13" fillId="0" borderId="0"/>
    <xf numFmtId="0" fontId="4" fillId="0" borderId="0">
      <alignment vertical="top"/>
    </xf>
    <xf numFmtId="0" fontId="4" fillId="0" borderId="0">
      <alignment vertical="top"/>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4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9" fillId="63" borderId="35" applyNumberFormat="0" applyFont="0" applyAlignment="0" applyProtection="0"/>
    <xf numFmtId="0" fontId="29" fillId="63" borderId="35" applyNumberFormat="0" applyFont="0" applyAlignment="0" applyProtection="0"/>
    <xf numFmtId="0" fontId="13" fillId="32" borderId="8" applyNumberFormat="0" applyAlignment="0" applyProtection="0"/>
    <xf numFmtId="0" fontId="13" fillId="32" borderId="8" applyNumberFormat="0" applyAlignment="0" applyProtection="0"/>
    <xf numFmtId="0" fontId="13" fillId="32" borderId="8" applyNumberFormat="0" applyAlignment="0" applyProtection="0"/>
    <xf numFmtId="0" fontId="13" fillId="32" borderId="8" applyNumberFormat="0" applyAlignment="0" applyProtection="0"/>
    <xf numFmtId="0" fontId="13" fillId="32" borderId="8" applyNumberFormat="0" applyAlignment="0" applyProtection="0"/>
    <xf numFmtId="0" fontId="13" fillId="32" borderId="8" applyNumberFormat="0" applyAlignment="0" applyProtection="0"/>
    <xf numFmtId="0" fontId="13" fillId="32" borderId="8" applyNumberFormat="0" applyAlignment="0" applyProtection="0"/>
    <xf numFmtId="0" fontId="13" fillId="32" borderId="8" applyNumberFormat="0" applyAlignment="0" applyProtection="0"/>
    <xf numFmtId="0" fontId="29" fillId="63" borderId="35" applyNumberFormat="0" applyFont="0" applyAlignment="0" applyProtection="0"/>
    <xf numFmtId="0" fontId="29" fillId="63" borderId="35" applyNumberFormat="0" applyFont="0" applyAlignment="0" applyProtection="0"/>
    <xf numFmtId="0" fontId="1" fillId="31" borderId="8" applyNumberFormat="0" applyFont="0" applyAlignment="0" applyProtection="0"/>
    <xf numFmtId="0" fontId="13" fillId="31" borderId="8" applyNumberFormat="0" applyFont="0" applyAlignment="0" applyProtection="0"/>
    <xf numFmtId="0" fontId="1" fillId="63" borderId="35" applyNumberFormat="0" applyFont="0" applyAlignment="0" applyProtection="0"/>
    <xf numFmtId="0" fontId="1" fillId="63" borderId="35" applyNumberFormat="0" applyFont="0" applyAlignment="0" applyProtection="0"/>
    <xf numFmtId="0" fontId="1" fillId="63" borderId="35"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13" fillId="31" borderId="8" applyNumberFormat="0" applyFont="0" applyAlignment="0" applyProtection="0"/>
    <xf numFmtId="0" fontId="4" fillId="32" borderId="8" applyNumberFormat="0" applyProtection="0">
      <alignment vertical="top"/>
    </xf>
    <xf numFmtId="0" fontId="4" fillId="32" borderId="8" applyNumberFormat="0" applyProtection="0">
      <alignment vertical="top"/>
    </xf>
    <xf numFmtId="0" fontId="4" fillId="32" borderId="8" applyNumberFormat="0" applyProtection="0">
      <alignment vertical="top"/>
    </xf>
    <xf numFmtId="0" fontId="4" fillId="32" borderId="8" applyNumberFormat="0" applyProtection="0">
      <alignment vertical="top"/>
    </xf>
    <xf numFmtId="0" fontId="14" fillId="24" borderId="9" applyNumberFormat="0" applyProtection="0">
      <alignment vertical="top"/>
    </xf>
    <xf numFmtId="0" fontId="14" fillId="24" borderId="9" applyNumberFormat="0" applyProtection="0">
      <alignment vertical="top"/>
    </xf>
    <xf numFmtId="0" fontId="14" fillId="24" borderId="9" applyNumberFormat="0" applyProtection="0">
      <alignment vertical="top"/>
    </xf>
    <xf numFmtId="0" fontId="14" fillId="24" borderId="9" applyNumberFormat="0" applyProtection="0">
      <alignment vertical="top"/>
    </xf>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0" applyNumberFormat="0" applyBorder="0" applyAlignment="0"/>
    <xf numFmtId="0" fontId="13" fillId="0" borderId="0" applyNumberFormat="0" applyBorder="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0" fontId="13" fillId="0" borderId="10" applyNumberFormat="0" applyFont="0" applyAlignment="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4" fillId="0" borderId="0" applyFill="0" applyBorder="0" applyProtection="0">
      <alignment vertical="top"/>
    </xf>
    <xf numFmtId="9" fontId="13" fillId="0" borderId="0" applyFont="0" applyFill="0" applyBorder="0" applyAlignment="0" applyProtection="0"/>
    <xf numFmtId="9" fontId="25" fillId="0" borderId="0" applyFill="0" applyBorder="0" applyAlignment="0" applyProtection="0"/>
    <xf numFmtId="9" fontId="13" fillId="0" borderId="0" applyFont="0" applyFill="0" applyBorder="0" applyAlignment="0" applyProtection="0"/>
    <xf numFmtId="9" fontId="13" fillId="0" borderId="0" applyFill="0" applyBorder="0" applyAlignment="0" applyProtection="0"/>
    <xf numFmtId="9" fontId="13" fillId="0" borderId="0" applyFill="0" applyBorder="0" applyAlignment="0" applyProtection="0"/>
    <xf numFmtId="9" fontId="25" fillId="0" borderId="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4" fillId="0" borderId="0" applyFill="0" applyBorder="0" applyProtection="0">
      <alignment vertical="top"/>
    </xf>
    <xf numFmtId="9" fontId="4" fillId="0" borderId="0" applyFill="0" applyBorder="0" applyProtection="0">
      <alignment vertical="top"/>
    </xf>
    <xf numFmtId="9" fontId="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5" fillId="0" borderId="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5" fillId="0" borderId="0" applyFill="0" applyBorder="0" applyAlignment="0" applyProtection="0"/>
    <xf numFmtId="9" fontId="13" fillId="0" borderId="0" applyFont="0" applyFill="0" applyBorder="0" applyAlignment="0" applyProtection="0"/>
    <xf numFmtId="9" fontId="13" fillId="0" borderId="0" applyFill="0" applyBorder="0" applyAlignment="0" applyProtection="0"/>
    <xf numFmtId="9" fontId="13" fillId="0" borderId="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5" fillId="0" borderId="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ill="0" applyAlignment="0" applyProtection="0"/>
    <xf numFmtId="9" fontId="13" fillId="0" borderId="0" applyFill="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46" fillId="0" borderId="0"/>
    <xf numFmtId="177" fontId="46" fillId="0" borderId="0"/>
    <xf numFmtId="0" fontId="47" fillId="52" borderId="36" applyNumberFormat="0" applyAlignment="0" applyProtection="0"/>
    <xf numFmtId="0" fontId="47" fillId="52" borderId="36" applyNumberFormat="0" applyAlignment="0" applyProtection="0"/>
    <xf numFmtId="0" fontId="14" fillId="24" borderId="9" applyNumberFormat="0" applyAlignment="0" applyProtection="0"/>
    <xf numFmtId="0" fontId="14" fillId="24" borderId="9" applyNumberFormat="0" applyAlignment="0" applyProtection="0"/>
    <xf numFmtId="0" fontId="14" fillId="24" borderId="9" applyNumberFormat="0" applyAlignment="0" applyProtection="0"/>
    <xf numFmtId="0" fontId="14" fillId="24" borderId="9" applyNumberFormat="0" applyAlignment="0" applyProtection="0"/>
    <xf numFmtId="0" fontId="47" fillId="52" borderId="36" applyNumberFormat="0" applyAlignment="0" applyProtection="0"/>
    <xf numFmtId="0" fontId="47" fillId="52" borderId="36" applyNumberFormat="0" applyAlignment="0" applyProtection="0"/>
    <xf numFmtId="0" fontId="14" fillId="25" borderId="9" applyNumberFormat="0" applyAlignment="0" applyProtection="0"/>
    <xf numFmtId="0" fontId="14" fillId="25" borderId="9" applyNumberFormat="0" applyAlignment="0" applyProtection="0"/>
    <xf numFmtId="0" fontId="14" fillId="25" borderId="9" applyNumberFormat="0" applyAlignment="0" applyProtection="0"/>
    <xf numFmtId="0" fontId="14" fillId="25" borderId="9" applyNumberFormat="0" applyAlignment="0" applyProtection="0"/>
    <xf numFmtId="0" fontId="14" fillId="25" borderId="9" applyNumberFormat="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29"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25" fillId="0" borderId="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25" fillId="0" borderId="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5" fontId="13" fillId="0" borderId="0" applyFont="0" applyFill="0" applyBorder="0" applyAlignment="0" applyProtection="0"/>
    <xf numFmtId="167" fontId="13" fillId="0" borderId="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67" fontId="25" fillId="0" borderId="0" applyFill="0" applyBorder="0" applyAlignment="0" applyProtection="0"/>
    <xf numFmtId="168" fontId="13" fillId="0" borderId="0" applyFill="0" applyBorder="0" applyAlignment="0" applyProtection="0"/>
    <xf numFmtId="168" fontId="13" fillId="0" borderId="0" applyFill="0" applyBorder="0" applyAlignment="0" applyProtection="0"/>
    <xf numFmtId="44" fontId="13" fillId="0" borderId="0" applyFill="0" applyBorder="0" applyAlignment="0" applyProtection="0"/>
    <xf numFmtId="44" fontId="13" fillId="0" borderId="0" applyFill="0" applyBorder="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74" fontId="13" fillId="0" borderId="0" applyFill="0" applyAlignment="0" applyProtection="0"/>
    <xf numFmtId="168" fontId="13" fillId="0" borderId="0" applyFill="0" applyBorder="0" applyAlignment="0" applyProtection="0"/>
    <xf numFmtId="168" fontId="13" fillId="0" borderId="0" applyFill="0" applyBorder="0" applyAlignment="0" applyProtection="0"/>
    <xf numFmtId="44" fontId="13" fillId="0" borderId="0" applyFill="0" applyBorder="0" applyAlignment="0" applyProtection="0"/>
    <xf numFmtId="44" fontId="13" fillId="0" borderId="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3" fillId="0" borderId="0" applyFont="0" applyFill="0" applyBorder="0" applyAlignment="0" applyProtection="0"/>
    <xf numFmtId="43" fontId="1"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6" fontId="29" fillId="0" borderId="0" applyFont="0" applyFill="0" applyBorder="0" applyAlignment="0" applyProtection="0"/>
    <xf numFmtId="43" fontId="29" fillId="0" borderId="0" applyFont="0" applyFill="0" applyBorder="0" applyAlignment="0" applyProtection="0"/>
    <xf numFmtId="166" fontId="29" fillId="0" borderId="0" applyFont="0" applyFill="0" applyBorder="0" applyAlignment="0" applyProtection="0"/>
    <xf numFmtId="166" fontId="13" fillId="0" borderId="0" applyFont="0" applyFill="0" applyBorder="0" applyAlignment="0" applyProtection="0"/>
    <xf numFmtId="166" fontId="1"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48" fillId="0" borderId="0"/>
    <xf numFmtId="0" fontId="49" fillId="0" borderId="0" applyNumberFormat="0" applyFill="0" applyBorder="0" applyAlignment="0" applyProtection="0"/>
    <xf numFmtId="0" fontId="49" fillId="0" borderId="0" applyNumberFormat="0" applyFill="0" applyBorder="0" applyAlignment="0" applyProtection="0"/>
    <xf numFmtId="0" fontId="15"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16"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51" fillId="0" borderId="0" applyNumberFormat="0" applyFill="0" applyBorder="0" applyAlignment="0" applyProtection="0"/>
    <xf numFmtId="0" fontId="32" fillId="0" borderId="29" applyNumberFormat="0" applyFill="0" applyAlignment="0" applyProtection="0"/>
    <xf numFmtId="0" fontId="18" fillId="0" borderId="1" applyNumberFormat="0" applyFill="0" applyProtection="0">
      <alignment vertical="top"/>
    </xf>
    <xf numFmtId="0" fontId="21" fillId="0" borderId="11" applyNumberFormat="0" applyFill="0" applyAlignment="0" applyProtection="0"/>
    <xf numFmtId="0" fontId="18" fillId="0" borderId="1" applyNumberFormat="0" applyFill="0" applyAlignment="0" applyProtection="0"/>
    <xf numFmtId="0" fontId="21" fillId="0" borderId="12" applyNumberFormat="0" applyFill="0" applyAlignment="0" applyProtection="0"/>
    <xf numFmtId="0" fontId="18" fillId="0" borderId="1" applyNumberFormat="0" applyFill="0" applyAlignment="0" applyProtection="0"/>
    <xf numFmtId="0" fontId="21" fillId="0" borderId="12" applyNumberFormat="0" applyFill="0" applyAlignment="0" applyProtection="0"/>
    <xf numFmtId="0" fontId="18" fillId="0" borderId="1" applyNumberFormat="0" applyFill="0" applyProtection="0">
      <alignment vertical="top"/>
    </xf>
    <xf numFmtId="0" fontId="18" fillId="0" borderId="1" applyNumberFormat="0" applyFill="0" applyProtection="0">
      <alignment vertical="top"/>
    </xf>
    <xf numFmtId="0" fontId="18" fillId="0" borderId="1" applyNumberFormat="0" applyFill="0" applyAlignment="0" applyProtection="0"/>
    <xf numFmtId="0" fontId="18" fillId="0" borderId="1" applyNumberFormat="0" applyFill="0" applyAlignment="0" applyProtection="0"/>
    <xf numFmtId="0" fontId="18" fillId="0" borderId="1" applyNumberFormat="0" applyFill="0" applyAlignment="0" applyProtection="0"/>
    <xf numFmtId="0" fontId="18" fillId="0" borderId="1" applyNumberFormat="0" applyFill="0" applyAlignment="0" applyProtection="0"/>
    <xf numFmtId="0" fontId="18" fillId="0" borderId="1" applyNumberFormat="0" applyFill="0" applyAlignment="0" applyProtection="0"/>
    <xf numFmtId="0" fontId="18" fillId="0" borderId="1" applyNumberFormat="0" applyFill="0" applyAlignment="0" applyProtection="0"/>
    <xf numFmtId="0" fontId="18" fillId="0" borderId="1" applyNumberFormat="0" applyFill="0" applyAlignment="0" applyProtection="0"/>
    <xf numFmtId="0" fontId="18" fillId="0" borderId="1" applyNumberFormat="0" applyFill="0" applyAlignment="0" applyProtection="0"/>
    <xf numFmtId="0" fontId="17" fillId="0" borderId="0" applyNumberFormat="0" applyFill="0" applyBorder="0" applyAlignment="0" applyProtection="0"/>
    <xf numFmtId="0" fontId="33" fillId="0" borderId="30" applyNumberFormat="0" applyFill="0" applyAlignment="0" applyProtection="0"/>
    <xf numFmtId="0" fontId="19" fillId="0" borderId="2" applyNumberFormat="0" applyFill="0" applyAlignment="0" applyProtection="0"/>
    <xf numFmtId="0" fontId="34" fillId="0" borderId="31" applyNumberFormat="0" applyFill="0" applyAlignment="0" applyProtection="0"/>
    <xf numFmtId="0" fontId="20" fillId="0" borderId="3" applyNumberFormat="0" applyFill="0" applyAlignment="0" applyProtection="0"/>
    <xf numFmtId="0" fontId="34" fillId="0" borderId="0" applyNumberFormat="0" applyFill="0" applyBorder="0" applyAlignment="0" applyProtection="0"/>
    <xf numFmtId="0" fontId="20" fillId="0" borderId="0" applyNumberFormat="0" applyFill="0" applyBorder="0" applyAlignment="0" applyProtection="0"/>
    <xf numFmtId="0" fontId="51" fillId="0" borderId="0" applyNumberFormat="0" applyFill="0" applyBorder="0" applyAlignment="0" applyProtection="0"/>
    <xf numFmtId="0" fontId="17"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52" fillId="0" borderId="37" applyNumberFormat="0" applyFill="0" applyAlignment="0" applyProtection="0"/>
    <xf numFmtId="0" fontId="52" fillId="0" borderId="37" applyNumberFormat="0" applyFill="0" applyAlignment="0" applyProtection="0"/>
    <xf numFmtId="0" fontId="2" fillId="0" borderId="13" applyNumberFormat="0" applyFill="0" applyAlignment="0" applyProtection="0"/>
    <xf numFmtId="0" fontId="2" fillId="0" borderId="13" applyNumberFormat="0" applyFill="0" applyAlignment="0" applyProtection="0"/>
    <xf numFmtId="0" fontId="2" fillId="0" borderId="13" applyNumberFormat="0" applyFill="0" applyAlignment="0" applyProtection="0"/>
    <xf numFmtId="0" fontId="2" fillId="0" borderId="13" applyNumberFormat="0" applyFill="0" applyAlignment="0" applyProtection="0"/>
    <xf numFmtId="0" fontId="52" fillId="0" borderId="37" applyNumberFormat="0" applyFill="0" applyAlignment="0" applyProtection="0"/>
    <xf numFmtId="0" fontId="52" fillId="0" borderId="37" applyNumberFormat="0" applyFill="0" applyAlignment="0" applyProtection="0"/>
    <xf numFmtId="0" fontId="2" fillId="0" borderId="13" applyNumberFormat="0" applyFill="0" applyAlignment="0" applyProtection="0"/>
    <xf numFmtId="0" fontId="2" fillId="0" borderId="13" applyNumberFormat="0" applyFill="0" applyProtection="0">
      <alignment vertical="top"/>
    </xf>
    <xf numFmtId="0" fontId="2" fillId="0" borderId="13" applyNumberFormat="0" applyFill="0" applyProtection="0">
      <alignment vertical="top"/>
    </xf>
    <xf numFmtId="0" fontId="2" fillId="0" borderId="13" applyNumberFormat="0" applyFill="0" applyProtection="0">
      <alignment vertical="top"/>
    </xf>
    <xf numFmtId="0" fontId="2" fillId="0" borderId="13" applyNumberFormat="0" applyFill="0" applyProtection="0">
      <alignment vertical="top"/>
    </xf>
    <xf numFmtId="0" fontId="36" fillId="53" borderId="33" applyNumberFormat="0" applyAlignment="0" applyProtection="0"/>
    <xf numFmtId="43" fontId="29"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29" fillId="0" borderId="0" applyFont="0" applyFill="0" applyBorder="0" applyAlignment="0" applyProtection="0"/>
    <xf numFmtId="166" fontId="29" fillId="0" borderId="0" applyFont="0" applyFill="0" applyBorder="0" applyAlignment="0" applyProtection="0"/>
    <xf numFmtId="43" fontId="29" fillId="0" borderId="0" applyFont="0" applyFill="0" applyBorder="0" applyAlignment="0" applyProtection="0"/>
    <xf numFmtId="166" fontId="1" fillId="0" borderId="0" applyFont="0" applyFill="0" applyBorder="0" applyAlignment="0" applyProtection="0"/>
    <xf numFmtId="43" fontId="29" fillId="0" borderId="0" applyFont="0" applyFill="0" applyBorder="0" applyAlignment="0" applyProtection="0"/>
    <xf numFmtId="166" fontId="29"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43"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3" fontId="29" fillId="0" borderId="0" applyFont="0" applyFill="0" applyBorder="0" applyAlignment="0" applyProtection="0"/>
    <xf numFmtId="0" fontId="15" fillId="0" borderId="0" applyNumberFormat="0" applyFill="0" applyBorder="0" applyProtection="0">
      <alignment vertical="top"/>
    </xf>
    <xf numFmtId="44" fontId="29" fillId="0" borderId="0" applyFont="0" applyFill="0" applyBorder="0" applyAlignment="0" applyProtection="0"/>
    <xf numFmtId="9" fontId="29" fillId="0" borderId="0" applyFont="0" applyFill="0" applyBorder="0" applyAlignment="0" applyProtection="0"/>
    <xf numFmtId="0" fontId="29" fillId="0" borderId="0"/>
    <xf numFmtId="44" fontId="13" fillId="0" borderId="0" applyFont="0" applyFill="0" applyBorder="0" applyAlignment="0" applyProtection="0"/>
  </cellStyleXfs>
  <cellXfs count="626">
    <xf numFmtId="0" fontId="0" fillId="0" borderId="0" xfId="0"/>
    <xf numFmtId="0" fontId="0" fillId="0" borderId="0" xfId="0" applyAlignment="1">
      <alignment horizontal="center"/>
    </xf>
    <xf numFmtId="0" fontId="52" fillId="64" borderId="14" xfId="0" applyFont="1" applyFill="1" applyBorder="1" applyAlignment="1">
      <alignment horizontal="center" vertical="center"/>
    </xf>
    <xf numFmtId="0" fontId="0" fillId="0" borderId="0" xfId="0"/>
    <xf numFmtId="0" fontId="0" fillId="0" borderId="0" xfId="0" applyAlignment="1">
      <alignment horizontal="center" vertical="center"/>
    </xf>
    <xf numFmtId="0" fontId="0" fillId="0" borderId="0" xfId="0"/>
    <xf numFmtId="0" fontId="0" fillId="0" borderId="0" xfId="0"/>
    <xf numFmtId="0" fontId="52" fillId="66" borderId="38" xfId="0" applyFont="1" applyFill="1" applyBorder="1" applyAlignment="1">
      <alignment wrapText="1"/>
    </xf>
    <xf numFmtId="0" fontId="52" fillId="66" borderId="38" xfId="0" applyFont="1" applyFill="1" applyBorder="1" applyAlignment="1">
      <alignment horizontal="center" wrapText="1"/>
    </xf>
    <xf numFmtId="0" fontId="52" fillId="66" borderId="38" xfId="0" applyFont="1" applyFill="1" applyBorder="1" applyAlignment="1">
      <alignment horizontal="right" wrapText="1"/>
    </xf>
    <xf numFmtId="0" fontId="0" fillId="0" borderId="38" xfId="0" applyBorder="1" applyAlignment="1">
      <alignment horizontal="left" vertical="top" wrapText="1"/>
    </xf>
    <xf numFmtId="0" fontId="0" fillId="0" borderId="38" xfId="0" applyBorder="1" applyAlignment="1">
      <alignment horizontal="center" vertical="top" wrapText="1"/>
    </xf>
    <xf numFmtId="0" fontId="0" fillId="0" borderId="38" xfId="0" applyBorder="1" applyAlignment="1">
      <alignment horizontal="right" vertical="top" wrapText="1"/>
    </xf>
    <xf numFmtId="0" fontId="0" fillId="0" borderId="38" xfId="0" applyBorder="1" applyAlignment="1">
      <alignment horizontal="right" wrapText="1"/>
    </xf>
    <xf numFmtId="0" fontId="0" fillId="0" borderId="0" xfId="0" applyAlignment="1">
      <alignment wrapText="1"/>
    </xf>
    <xf numFmtId="2" fontId="0" fillId="0" borderId="38" xfId="0" applyNumberFormat="1" applyBorder="1" applyAlignment="1">
      <alignment horizontal="right" vertical="top" wrapText="1"/>
    </xf>
    <xf numFmtId="2" fontId="52" fillId="0" borderId="38" xfId="0" applyNumberFormat="1" applyFont="1" applyBorder="1" applyAlignment="1">
      <alignment horizontal="right" wrapText="1"/>
    </xf>
    <xf numFmtId="2" fontId="0" fillId="0" borderId="38" xfId="0" applyNumberFormat="1" applyBorder="1" applyAlignment="1">
      <alignment horizontal="right" wrapText="1"/>
    </xf>
    <xf numFmtId="0" fontId="52" fillId="66" borderId="42" xfId="0" applyFont="1" applyFill="1" applyBorder="1" applyAlignment="1">
      <alignment horizontal="right" wrapText="1"/>
    </xf>
    <xf numFmtId="0" fontId="0" fillId="0" borderId="14" xfId="0" applyBorder="1"/>
    <xf numFmtId="49" fontId="52" fillId="67" borderId="14" xfId="2190" applyNumberFormat="1" applyFont="1" applyFill="1" applyBorder="1" applyAlignment="1">
      <alignment horizontal="center" vertical="center"/>
    </xf>
    <xf numFmtId="0" fontId="0" fillId="0" borderId="14" xfId="0" applyBorder="1" applyAlignment="1">
      <alignment horizontal="center" vertical="center"/>
    </xf>
    <xf numFmtId="0" fontId="52" fillId="0" borderId="14" xfId="0" applyFont="1" applyBorder="1" applyAlignment="1">
      <alignment horizontal="center"/>
    </xf>
    <xf numFmtId="0" fontId="52" fillId="67" borderId="14" xfId="0" applyFont="1" applyFill="1" applyBorder="1" applyAlignment="1"/>
    <xf numFmtId="0" fontId="52" fillId="67" borderId="14" xfId="0" applyFont="1" applyFill="1" applyBorder="1" applyAlignment="1">
      <alignment horizontal="center"/>
    </xf>
    <xf numFmtId="4" fontId="52" fillId="67" borderId="14" xfId="0" applyNumberFormat="1" applyFont="1" applyFill="1" applyBorder="1"/>
    <xf numFmtId="0" fontId="0" fillId="67" borderId="14" xfId="0" applyFill="1" applyBorder="1"/>
    <xf numFmtId="0" fontId="0" fillId="0" borderId="0" xfId="0" applyBorder="1" applyAlignment="1">
      <alignment horizontal="center"/>
    </xf>
    <xf numFmtId="0" fontId="0" fillId="0" borderId="0" xfId="0" applyBorder="1"/>
    <xf numFmtId="0" fontId="0" fillId="0" borderId="0" xfId="0" applyBorder="1" applyAlignment="1">
      <alignment horizontal="center" vertical="center"/>
    </xf>
    <xf numFmtId="4" fontId="0" fillId="0" borderId="0" xfId="0" applyNumberFormat="1" applyBorder="1" applyAlignment="1">
      <alignment horizontal="center" vertical="center"/>
    </xf>
    <xf numFmtId="49" fontId="52" fillId="67" borderId="14" xfId="2190" applyNumberFormat="1" applyFont="1" applyFill="1" applyBorder="1" applyAlignment="1">
      <alignment horizontal="center"/>
    </xf>
    <xf numFmtId="0" fontId="52" fillId="64" borderId="14" xfId="0" applyFont="1" applyFill="1" applyBorder="1" applyAlignment="1">
      <alignment horizontal="left" vertical="center"/>
    </xf>
    <xf numFmtId="0" fontId="52" fillId="67" borderId="14" xfId="0" applyFont="1" applyFill="1" applyBorder="1" applyAlignment="1">
      <alignment horizontal="left" vertical="center"/>
    </xf>
    <xf numFmtId="0" fontId="0" fillId="0" borderId="0" xfId="0" applyBorder="1" applyAlignment="1">
      <alignment horizontal="left" vertical="center"/>
    </xf>
    <xf numFmtId="0" fontId="0" fillId="0" borderId="0" xfId="0" applyAlignment="1">
      <alignment horizontal="left" vertical="center"/>
    </xf>
    <xf numFmtId="4" fontId="52" fillId="67" borderId="14" xfId="0" applyNumberFormat="1" applyFont="1" applyFill="1" applyBorder="1" applyAlignment="1">
      <alignment horizontal="center" vertical="center"/>
    </xf>
    <xf numFmtId="4" fontId="52" fillId="64" borderId="14" xfId="0" applyNumberFormat="1" applyFont="1" applyFill="1" applyBorder="1" applyAlignment="1">
      <alignment horizontal="center" vertical="center" wrapText="1"/>
    </xf>
    <xf numFmtId="4" fontId="0" fillId="0" borderId="0" xfId="0" applyNumberFormat="1" applyBorder="1"/>
    <xf numFmtId="4" fontId="0" fillId="0" borderId="0" xfId="0" applyNumberFormat="1"/>
    <xf numFmtId="0" fontId="0" fillId="0" borderId="14" xfId="0" applyBorder="1" applyAlignment="1">
      <alignment horizontal="center"/>
    </xf>
    <xf numFmtId="0" fontId="0" fillId="0" borderId="0" xfId="0" applyBorder="1" applyAlignment="1">
      <alignment horizontal="center"/>
    </xf>
    <xf numFmtId="49" fontId="0" fillId="67" borderId="14" xfId="2190" applyNumberFormat="1" applyFont="1" applyFill="1" applyBorder="1" applyAlignment="1">
      <alignment horizontal="center" vertical="center"/>
    </xf>
    <xf numFmtId="0" fontId="0" fillId="0" borderId="0" xfId="0" applyAlignment="1">
      <alignment vertical="top"/>
    </xf>
    <xf numFmtId="0" fontId="0" fillId="0" borderId="49" xfId="0" applyBorder="1" applyAlignment="1">
      <alignment horizontal="center" vertical="center"/>
    </xf>
    <xf numFmtId="4" fontId="0" fillId="0" borderId="49" xfId="0" applyNumberFormat="1" applyBorder="1" applyAlignment="1">
      <alignment horizontal="center" vertical="center"/>
    </xf>
    <xf numFmtId="4" fontId="52" fillId="67" borderId="49" xfId="0" applyNumberFormat="1" applyFont="1" applyFill="1" applyBorder="1" applyAlignment="1">
      <alignment horizontal="center" vertical="center"/>
    </xf>
    <xf numFmtId="0" fontId="0" fillId="0" borderId="49" xfId="0" applyBorder="1" applyAlignment="1">
      <alignment horizontal="center" vertical="center"/>
    </xf>
    <xf numFmtId="0" fontId="0" fillId="68" borderId="0" xfId="0" applyFill="1"/>
    <xf numFmtId="0" fontId="0" fillId="0" borderId="0" xfId="0" applyBorder="1" applyAlignment="1"/>
    <xf numFmtId="4" fontId="0" fillId="0" borderId="0" xfId="0" applyNumberFormat="1" applyAlignment="1">
      <alignment wrapText="1"/>
    </xf>
    <xf numFmtId="44" fontId="0" fillId="0" borderId="0" xfId="0" applyNumberFormat="1"/>
    <xf numFmtId="0" fontId="52" fillId="67" borderId="14" xfId="0" applyFont="1" applyFill="1" applyBorder="1" applyAlignment="1">
      <alignment horizontal="center" vertical="center"/>
    </xf>
    <xf numFmtId="0" fontId="79" fillId="69" borderId="0" xfId="0" applyFont="1" applyFill="1"/>
    <xf numFmtId="0" fontId="44" fillId="69" borderId="0" xfId="0" applyFont="1" applyFill="1" applyAlignment="1">
      <alignment vertical="center"/>
    </xf>
    <xf numFmtId="0" fontId="68" fillId="69" borderId="0" xfId="0" applyFont="1" applyFill="1" applyAlignment="1">
      <alignment horizontal="left" vertical="center"/>
    </xf>
    <xf numFmtId="0" fontId="44" fillId="69" borderId="0" xfId="0" applyFont="1" applyFill="1" applyAlignment="1">
      <alignment horizontal="left" vertical="center"/>
    </xf>
    <xf numFmtId="0" fontId="83" fillId="0" borderId="14" xfId="0" applyFont="1" applyBorder="1" applyAlignment="1">
      <alignment horizontal="center"/>
    </xf>
    <xf numFmtId="2" fontId="13" fillId="0" borderId="14" xfId="0" applyNumberFormat="1" applyFont="1" applyBorder="1" applyAlignment="1">
      <alignment horizontal="right" indent="4"/>
    </xf>
    <xf numFmtId="0" fontId="84" fillId="67" borderId="0" xfId="0" applyFont="1" applyFill="1"/>
    <xf numFmtId="4" fontId="84" fillId="67" borderId="0" xfId="0" applyNumberFormat="1" applyFont="1" applyFill="1"/>
    <xf numFmtId="0" fontId="13" fillId="67" borderId="0" xfId="0" applyFont="1" applyFill="1"/>
    <xf numFmtId="0" fontId="79" fillId="69" borderId="0" xfId="0" applyFont="1" applyFill="1" applyAlignment="1">
      <alignment vertical="center"/>
    </xf>
    <xf numFmtId="10" fontId="80" fillId="72" borderId="14" xfId="0" applyNumberFormat="1" applyFont="1" applyFill="1" applyBorder="1" applyAlignment="1">
      <alignment horizontal="center" vertical="center"/>
    </xf>
    <xf numFmtId="0" fontId="79" fillId="0" borderId="0" xfId="0" applyFont="1" applyAlignment="1">
      <alignment vertical="center"/>
    </xf>
    <xf numFmtId="0" fontId="0" fillId="67" borderId="0" xfId="0" applyFill="1" applyBorder="1" applyAlignment="1">
      <alignment horizontal="center" vertical="center"/>
    </xf>
    <xf numFmtId="49" fontId="52" fillId="67" borderId="15" xfId="2190" applyNumberFormat="1" applyFont="1" applyFill="1" applyBorder="1" applyAlignment="1">
      <alignment horizontal="center" vertical="center"/>
    </xf>
    <xf numFmtId="0" fontId="52" fillId="67" borderId="15" xfId="0" applyFont="1" applyFill="1" applyBorder="1" applyAlignment="1">
      <alignment horizontal="center" vertical="center"/>
    </xf>
    <xf numFmtId="0" fontId="52" fillId="67" borderId="17" xfId="0" applyFont="1" applyFill="1" applyBorder="1" applyAlignment="1">
      <alignment vertical="center"/>
    </xf>
    <xf numFmtId="0" fontId="52" fillId="67" borderId="17" xfId="0" applyFont="1" applyFill="1" applyBorder="1" applyAlignment="1">
      <alignment horizontal="center" vertical="center"/>
    </xf>
    <xf numFmtId="4" fontId="52" fillId="67" borderId="16" xfId="0" applyNumberFormat="1" applyFont="1" applyFill="1" applyBorder="1" applyAlignment="1">
      <alignment horizontal="center" vertical="center"/>
    </xf>
    <xf numFmtId="0" fontId="52" fillId="67" borderId="17" xfId="0" applyFont="1" applyFill="1" applyBorder="1" applyAlignment="1">
      <alignment horizontal="left" vertical="center"/>
    </xf>
    <xf numFmtId="0" fontId="52" fillId="67" borderId="15" xfId="0" applyFont="1" applyFill="1" applyBorder="1" applyAlignment="1">
      <alignment horizontal="center" vertical="center" wrapText="1"/>
    </xf>
    <xf numFmtId="4" fontId="0" fillId="67" borderId="16" xfId="0" applyNumberFormat="1" applyFill="1" applyBorder="1" applyAlignment="1">
      <alignment horizontal="center" vertical="center"/>
    </xf>
    <xf numFmtId="0" fontId="52" fillId="67" borderId="17" xfId="0" applyFont="1" applyFill="1" applyBorder="1" applyAlignment="1">
      <alignment horizontal="left" vertical="top"/>
    </xf>
    <xf numFmtId="0" fontId="0" fillId="67" borderId="0" xfId="0" applyFill="1" applyBorder="1"/>
    <xf numFmtId="4" fontId="0" fillId="67" borderId="0" xfId="0" applyNumberFormat="1" applyFill="1" applyBorder="1"/>
    <xf numFmtId="0" fontId="52" fillId="67" borderId="17" xfId="0" applyFont="1" applyFill="1" applyBorder="1" applyAlignment="1">
      <alignment horizontal="left" vertical="center"/>
    </xf>
    <xf numFmtId="0" fontId="52" fillId="67" borderId="14" xfId="0" applyFont="1" applyFill="1" applyBorder="1" applyAlignment="1">
      <alignment horizontal="center" vertical="center"/>
    </xf>
    <xf numFmtId="0" fontId="52" fillId="67" borderId="15" xfId="0" applyFont="1" applyFill="1" applyBorder="1" applyAlignment="1">
      <alignment vertical="center"/>
    </xf>
    <xf numFmtId="0" fontId="52" fillId="67" borderId="17" xfId="0" applyFont="1" applyFill="1" applyBorder="1" applyAlignment="1">
      <alignment vertical="center"/>
    </xf>
    <xf numFmtId="0" fontId="52" fillId="67" borderId="17" xfId="0" applyFont="1" applyFill="1" applyBorder="1" applyAlignment="1">
      <alignment vertical="top"/>
    </xf>
    <xf numFmtId="0" fontId="0" fillId="67" borderId="14" xfId="0" applyFill="1" applyBorder="1" applyAlignment="1">
      <alignment horizontal="center" vertical="center"/>
    </xf>
    <xf numFmtId="49" fontId="0" fillId="67" borderId="48" xfId="0" applyNumberFormat="1" applyFill="1" applyBorder="1" applyAlignment="1">
      <alignment horizontal="center" vertical="center"/>
    </xf>
    <xf numFmtId="0" fontId="0" fillId="67" borderId="48" xfId="0" applyFill="1" applyBorder="1" applyAlignment="1">
      <alignment horizontal="left" vertical="center"/>
    </xf>
    <xf numFmtId="0" fontId="0" fillId="67" borderId="48" xfId="0" applyFill="1" applyBorder="1" applyAlignment="1">
      <alignment horizontal="center" vertical="center"/>
    </xf>
    <xf numFmtId="4" fontId="0" fillId="67" borderId="48" xfId="0" applyNumberFormat="1" applyFill="1" applyBorder="1" applyAlignment="1">
      <alignment horizontal="center" vertical="center"/>
    </xf>
    <xf numFmtId="49" fontId="0" fillId="67" borderId="14" xfId="0" applyNumberFormat="1" applyFill="1" applyBorder="1" applyAlignment="1">
      <alignment horizontal="center" vertical="center"/>
    </xf>
    <xf numFmtId="0" fontId="0" fillId="67" borderId="14" xfId="0" applyFill="1" applyBorder="1" applyAlignment="1">
      <alignment horizontal="left" vertical="center"/>
    </xf>
    <xf numFmtId="2" fontId="0" fillId="67" borderId="14" xfId="0" applyNumberFormat="1" applyFill="1" applyBorder="1" applyAlignment="1">
      <alignment horizontal="center" vertical="center"/>
    </xf>
    <xf numFmtId="0" fontId="0" fillId="67" borderId="14" xfId="0" applyFill="1" applyBorder="1" applyAlignment="1">
      <alignment horizontal="left" vertical="center" wrapText="1"/>
    </xf>
    <xf numFmtId="4" fontId="0" fillId="67" borderId="14" xfId="0" applyNumberFormat="1" applyFill="1" applyBorder="1" applyAlignment="1">
      <alignment horizontal="center" vertical="center"/>
    </xf>
    <xf numFmtId="49" fontId="0" fillId="67" borderId="0" xfId="0" applyNumberFormat="1" applyFill="1" applyBorder="1" applyAlignment="1">
      <alignment horizontal="center" vertical="center"/>
    </xf>
    <xf numFmtId="0" fontId="0" fillId="67" borderId="14" xfId="0" applyFill="1" applyBorder="1" applyAlignment="1">
      <alignment wrapText="1"/>
    </xf>
    <xf numFmtId="0" fontId="0" fillId="67" borderId="48" xfId="0" applyFill="1" applyBorder="1" applyAlignment="1">
      <alignment horizontal="center" vertical="center" wrapText="1"/>
    </xf>
    <xf numFmtId="0" fontId="0" fillId="67" borderId="48" xfId="0" applyFill="1" applyBorder="1" applyAlignment="1">
      <alignment vertical="center" wrapText="1"/>
    </xf>
    <xf numFmtId="0" fontId="0" fillId="67" borderId="14" xfId="0" applyFill="1" applyBorder="1" applyAlignment="1">
      <alignment vertical="center" wrapText="1"/>
    </xf>
    <xf numFmtId="0" fontId="0" fillId="67" borderId="14" xfId="0" applyFill="1" applyBorder="1" applyAlignment="1">
      <alignment horizontal="center" vertical="center" wrapText="1"/>
    </xf>
    <xf numFmtId="0" fontId="0" fillId="67" borderId="14" xfId="0" applyNumberFormat="1" applyFill="1" applyBorder="1" applyAlignment="1">
      <alignment vertical="center" wrapText="1"/>
    </xf>
    <xf numFmtId="0" fontId="0" fillId="67" borderId="48" xfId="0" applyFill="1" applyBorder="1" applyAlignment="1">
      <alignment horizontal="left" vertical="center" wrapText="1"/>
    </xf>
    <xf numFmtId="0" fontId="0" fillId="67" borderId="14" xfId="0" applyFont="1" applyFill="1" applyBorder="1" applyAlignment="1">
      <alignment horizontal="center" vertical="center" wrapText="1"/>
    </xf>
    <xf numFmtId="49" fontId="0" fillId="67" borderId="48" xfId="0" applyNumberFormat="1" applyFill="1" applyBorder="1" applyAlignment="1">
      <alignment horizontal="center" vertical="center" wrapText="1"/>
    </xf>
    <xf numFmtId="4" fontId="0" fillId="67" borderId="48" xfId="0" applyNumberFormat="1" applyFill="1" applyBorder="1" applyAlignment="1">
      <alignment horizontal="center" vertical="center" wrapText="1"/>
    </xf>
    <xf numFmtId="0" fontId="0" fillId="67" borderId="14" xfId="0" applyFill="1" applyBorder="1" applyAlignment="1">
      <alignment vertical="center"/>
    </xf>
    <xf numFmtId="49" fontId="0" fillId="67" borderId="49" xfId="0" applyNumberFormat="1" applyFill="1" applyBorder="1" applyAlignment="1">
      <alignment horizontal="center" vertical="center"/>
    </xf>
    <xf numFmtId="0" fontId="0" fillId="67" borderId="49" xfId="0" applyFill="1" applyBorder="1" applyAlignment="1">
      <alignment horizontal="left" vertical="center" wrapText="1"/>
    </xf>
    <xf numFmtId="0" fontId="0" fillId="67" borderId="49" xfId="0" applyFill="1" applyBorder="1" applyAlignment="1">
      <alignment horizontal="center" vertical="center"/>
    </xf>
    <xf numFmtId="49" fontId="0" fillId="67" borderId="7" xfId="0" applyNumberFormat="1" applyFill="1" applyBorder="1" applyAlignment="1">
      <alignment horizontal="center" vertical="center"/>
    </xf>
    <xf numFmtId="0" fontId="0" fillId="67" borderId="7" xfId="0" applyFill="1" applyBorder="1" applyAlignment="1">
      <alignment vertical="center" wrapText="1"/>
    </xf>
    <xf numFmtId="0" fontId="0" fillId="67" borderId="7" xfId="0" applyFill="1" applyBorder="1" applyAlignment="1">
      <alignment horizontal="center" vertical="center"/>
    </xf>
    <xf numFmtId="4" fontId="0" fillId="67" borderId="7" xfId="0" applyNumberFormat="1" applyFill="1" applyBorder="1" applyAlignment="1">
      <alignment horizontal="center" vertical="center"/>
    </xf>
    <xf numFmtId="0" fontId="0" fillId="67" borderId="49" xfId="0" applyFill="1" applyBorder="1" applyAlignment="1">
      <alignment vertical="center" wrapText="1"/>
    </xf>
    <xf numFmtId="4" fontId="0" fillId="67" borderId="49" xfId="0" applyNumberFormat="1" applyFill="1" applyBorder="1" applyAlignment="1">
      <alignment horizontal="center" vertical="center"/>
    </xf>
    <xf numFmtId="0" fontId="64" fillId="67" borderId="14" xfId="0" applyFont="1" applyFill="1" applyBorder="1" applyAlignment="1">
      <alignment horizontal="left" vertical="center" wrapText="1"/>
    </xf>
    <xf numFmtId="0" fontId="0" fillId="67" borderId="49" xfId="0" applyFill="1" applyBorder="1" applyAlignment="1">
      <alignment horizontal="left" vertical="center"/>
    </xf>
    <xf numFmtId="0" fontId="0" fillId="67" borderId="7" xfId="0" applyFill="1" applyBorder="1" applyAlignment="1">
      <alignment horizontal="left" vertical="center"/>
    </xf>
    <xf numFmtId="0" fontId="57" fillId="67" borderId="14" xfId="0" applyFont="1" applyFill="1" applyBorder="1" applyAlignment="1">
      <alignment horizontal="center" vertical="center"/>
    </xf>
    <xf numFmtId="0" fontId="0" fillId="67" borderId="14" xfId="0" applyFont="1" applyFill="1" applyBorder="1" applyAlignment="1">
      <alignment horizontal="center" vertical="center"/>
    </xf>
    <xf numFmtId="4" fontId="0" fillId="67" borderId="48" xfId="0" applyNumberFormat="1" applyFont="1" applyFill="1" applyBorder="1" applyAlignment="1">
      <alignment horizontal="center" vertical="center"/>
    </xf>
    <xf numFmtId="0" fontId="64" fillId="67" borderId="14" xfId="0" applyFont="1" applyFill="1" applyBorder="1" applyAlignment="1">
      <alignment vertical="center" wrapText="1"/>
    </xf>
    <xf numFmtId="0" fontId="0" fillId="67" borderId="14" xfId="0" applyFill="1" applyBorder="1" applyAlignment="1">
      <alignment vertical="top" wrapText="1"/>
    </xf>
    <xf numFmtId="4" fontId="52" fillId="64" borderId="14" xfId="0" applyNumberFormat="1" applyFont="1" applyFill="1" applyBorder="1" applyAlignment="1">
      <alignment horizontal="center" vertical="center"/>
    </xf>
    <xf numFmtId="4" fontId="52" fillId="67" borderId="17" xfId="0" applyNumberFormat="1" applyFont="1" applyFill="1" applyBorder="1" applyAlignment="1">
      <alignment horizontal="center" vertical="center"/>
    </xf>
    <xf numFmtId="4" fontId="0" fillId="67" borderId="14" xfId="0" applyNumberFormat="1" applyFill="1" applyBorder="1" applyAlignment="1">
      <alignment horizontal="center" vertical="center" wrapText="1"/>
    </xf>
    <xf numFmtId="4" fontId="0" fillId="67" borderId="0" xfId="0" applyNumberFormat="1" applyFill="1" applyBorder="1" applyAlignment="1">
      <alignment horizontal="center" vertical="center"/>
    </xf>
    <xf numFmtId="4" fontId="0" fillId="0" borderId="0" xfId="0" applyNumberFormat="1" applyAlignment="1">
      <alignment horizontal="center" vertical="center"/>
    </xf>
    <xf numFmtId="0" fontId="0" fillId="67" borderId="0" xfId="0" applyFill="1"/>
    <xf numFmtId="4" fontId="0" fillId="67" borderId="0" xfId="0" applyNumberFormat="1" applyFill="1" applyAlignment="1">
      <alignment wrapText="1"/>
    </xf>
    <xf numFmtId="3" fontId="0" fillId="67" borderId="14" xfId="0" applyNumberFormat="1" applyFill="1" applyBorder="1" applyAlignment="1">
      <alignment horizontal="center" vertical="center"/>
    </xf>
    <xf numFmtId="0" fontId="0" fillId="67" borderId="14" xfId="0" applyNumberFormat="1" applyFill="1" applyBorder="1" applyAlignment="1">
      <alignment horizontal="left" vertical="center" wrapText="1"/>
    </xf>
    <xf numFmtId="0" fontId="52" fillId="67" borderId="14" xfId="0" applyFont="1" applyFill="1" applyBorder="1" applyAlignment="1">
      <alignment horizontal="center" vertical="center"/>
    </xf>
    <xf numFmtId="0" fontId="52" fillId="67" borderId="14" xfId="0" applyFont="1" applyFill="1" applyBorder="1" applyAlignment="1">
      <alignment horizontal="left"/>
    </xf>
    <xf numFmtId="0" fontId="0" fillId="0" borderId="0" xfId="0" applyAlignment="1">
      <alignment wrapText="1"/>
    </xf>
    <xf numFmtId="0" fontId="0" fillId="0" borderId="0" xfId="0" applyAlignment="1">
      <alignment vertical="center"/>
    </xf>
    <xf numFmtId="0" fontId="0" fillId="0" borderId="38" xfId="0" applyBorder="1" applyAlignment="1">
      <alignment horizontal="center" vertical="center" wrapText="1"/>
    </xf>
    <xf numFmtId="0" fontId="0" fillId="0" borderId="38" xfId="0" applyBorder="1" applyAlignment="1">
      <alignment horizontal="right" vertical="center" wrapText="1"/>
    </xf>
    <xf numFmtId="0" fontId="0" fillId="0" borderId="39" xfId="0" applyBorder="1" applyAlignment="1">
      <alignment horizontal="right" vertical="center" wrapText="1"/>
    </xf>
    <xf numFmtId="0" fontId="0" fillId="0" borderId="14" xfId="0" applyBorder="1" applyAlignment="1">
      <alignment vertical="center"/>
    </xf>
    <xf numFmtId="0" fontId="0" fillId="0" borderId="41" xfId="0" applyBorder="1" applyAlignment="1">
      <alignment horizontal="right" vertical="center" wrapText="1"/>
    </xf>
    <xf numFmtId="2" fontId="0" fillId="0" borderId="38" xfId="0" applyNumberFormat="1" applyBorder="1" applyAlignment="1">
      <alignment horizontal="right" vertical="center" wrapText="1"/>
    </xf>
    <xf numFmtId="2" fontId="0" fillId="0" borderId="14" xfId="0" applyNumberFormat="1" applyBorder="1" applyAlignment="1">
      <alignment vertical="center"/>
    </xf>
    <xf numFmtId="2" fontId="0" fillId="0" borderId="41" xfId="0" applyNumberFormat="1" applyBorder="1" applyAlignment="1">
      <alignment horizontal="right" vertical="center" wrapText="1"/>
    </xf>
    <xf numFmtId="0" fontId="0" fillId="0" borderId="15" xfId="0" applyBorder="1" applyAlignment="1">
      <alignment horizontal="right" vertical="center" wrapText="1"/>
    </xf>
    <xf numFmtId="0" fontId="0" fillId="0" borderId="46" xfId="0" applyBorder="1" applyAlignment="1">
      <alignment horizontal="right" vertical="center" wrapText="1"/>
    </xf>
    <xf numFmtId="0" fontId="0" fillId="0" borderId="38" xfId="0" applyBorder="1" applyAlignment="1">
      <alignment horizontal="left" vertical="center" wrapText="1"/>
    </xf>
    <xf numFmtId="0" fontId="0" fillId="0" borderId="40" xfId="0" applyBorder="1" applyAlignment="1">
      <alignment horizontal="right" vertical="center" wrapText="1"/>
    </xf>
    <xf numFmtId="0" fontId="52" fillId="67" borderId="14" xfId="0" applyFont="1" applyFill="1" applyBorder="1" applyAlignment="1">
      <alignment horizontal="center" wrapText="1"/>
    </xf>
    <xf numFmtId="0" fontId="0" fillId="67" borderId="14" xfId="0" applyFill="1" applyBorder="1" applyAlignment="1">
      <alignment horizontal="center"/>
    </xf>
    <xf numFmtId="0" fontId="0" fillId="67" borderId="0" xfId="0" applyFill="1" applyAlignment="1">
      <alignment wrapText="1"/>
    </xf>
    <xf numFmtId="0" fontId="0" fillId="67" borderId="0" xfId="0" applyFill="1" applyBorder="1" applyAlignment="1">
      <alignment horizontal="center"/>
    </xf>
    <xf numFmtId="0" fontId="0" fillId="67" borderId="0" xfId="0" applyFill="1" applyBorder="1" applyAlignment="1">
      <alignment horizontal="left" vertical="center"/>
    </xf>
    <xf numFmtId="2" fontId="0" fillId="67" borderId="0" xfId="0" applyNumberFormat="1" applyFill="1" applyBorder="1" applyAlignment="1">
      <alignment horizontal="center" vertical="center"/>
    </xf>
    <xf numFmtId="49" fontId="29" fillId="67" borderId="14" xfId="2190" applyNumberFormat="1" applyFont="1" applyFill="1" applyBorder="1" applyAlignment="1">
      <alignment horizontal="center" vertical="center"/>
    </xf>
    <xf numFmtId="0" fontId="0" fillId="67" borderId="14" xfId="0" applyFill="1" applyBorder="1" applyAlignment="1">
      <alignment horizontal="center" vertical="top"/>
    </xf>
    <xf numFmtId="0" fontId="0" fillId="67" borderId="14" xfId="0" applyFill="1" applyBorder="1" applyAlignment="1">
      <alignment horizontal="left" vertical="top" wrapText="1"/>
    </xf>
    <xf numFmtId="0" fontId="71" fillId="0" borderId="14" xfId="0" applyFont="1" applyBorder="1" applyAlignment="1">
      <alignment vertical="center"/>
    </xf>
    <xf numFmtId="0" fontId="70" fillId="0" borderId="14" xfId="0" applyFont="1" applyBorder="1" applyAlignment="1"/>
    <xf numFmtId="0" fontId="71" fillId="0" borderId="14" xfId="0" applyFont="1" applyBorder="1" applyAlignment="1"/>
    <xf numFmtId="9" fontId="0" fillId="0" borderId="14" xfId="2226" applyFont="1" applyBorder="1" applyAlignment="1">
      <alignment horizontal="center"/>
    </xf>
    <xf numFmtId="9" fontId="0" fillId="0" borderId="14" xfId="2226" applyFont="1" applyBorder="1"/>
    <xf numFmtId="9" fontId="0" fillId="0" borderId="14" xfId="0" applyNumberFormat="1" applyBorder="1"/>
    <xf numFmtId="4" fontId="0" fillId="0" borderId="14" xfId="0" applyNumberFormat="1" applyBorder="1"/>
    <xf numFmtId="44" fontId="0" fillId="0" borderId="14" xfId="2225" applyFont="1" applyBorder="1"/>
    <xf numFmtId="44" fontId="0" fillId="0" borderId="14" xfId="0" applyNumberFormat="1" applyBorder="1"/>
    <xf numFmtId="0" fontId="52" fillId="0" borderId="14" xfId="0" applyFont="1" applyBorder="1" applyAlignment="1">
      <alignment horizontal="center" vertical="center" wrapText="1"/>
    </xf>
    <xf numFmtId="178" fontId="0" fillId="0" borderId="38" xfId="0" applyNumberFormat="1" applyBorder="1" applyAlignment="1">
      <alignment horizontal="right" vertical="center" wrapText="1"/>
    </xf>
    <xf numFmtId="0" fontId="0" fillId="0" borderId="49" xfId="0" applyBorder="1" applyAlignment="1">
      <alignment vertical="center"/>
    </xf>
    <xf numFmtId="0" fontId="0" fillId="0" borderId="0" xfId="0" applyBorder="1" applyAlignment="1">
      <alignment horizontal="right" vertical="center" wrapText="1"/>
    </xf>
    <xf numFmtId="2" fontId="0" fillId="67" borderId="41" xfId="0" applyNumberFormat="1" applyFill="1" applyBorder="1" applyAlignment="1">
      <alignment horizontal="right" vertical="center" wrapText="1"/>
    </xf>
    <xf numFmtId="0" fontId="0" fillId="67" borderId="38" xfId="0" applyFill="1" applyBorder="1" applyAlignment="1">
      <alignment horizontal="left" vertical="center" wrapText="1"/>
    </xf>
    <xf numFmtId="0" fontId="0" fillId="67" borderId="38" xfId="0" applyFill="1" applyBorder="1" applyAlignment="1">
      <alignment horizontal="center" vertical="center" wrapText="1"/>
    </xf>
    <xf numFmtId="2" fontId="0" fillId="67" borderId="38" xfId="0" applyNumberFormat="1" applyFill="1" applyBorder="1" applyAlignment="1">
      <alignment horizontal="right" vertical="center" wrapText="1"/>
    </xf>
    <xf numFmtId="0" fontId="0" fillId="67" borderId="39" xfId="0" applyFill="1" applyBorder="1" applyAlignment="1">
      <alignment horizontal="right" vertical="center" wrapText="1"/>
    </xf>
    <xf numFmtId="2" fontId="0" fillId="67" borderId="14" xfId="0" applyNumberFormat="1" applyFill="1" applyBorder="1" applyAlignment="1">
      <alignment vertical="center"/>
    </xf>
    <xf numFmtId="0" fontId="0" fillId="67" borderId="41" xfId="0" applyFill="1" applyBorder="1" applyAlignment="1">
      <alignment horizontal="right" vertical="center" wrapText="1"/>
    </xf>
    <xf numFmtId="2" fontId="0" fillId="67" borderId="38" xfId="0" applyNumberFormat="1" applyFill="1" applyBorder="1" applyAlignment="1">
      <alignment vertical="center"/>
    </xf>
    <xf numFmtId="2" fontId="0" fillId="67" borderId="67" xfId="0" applyNumberFormat="1" applyFill="1" applyBorder="1" applyAlignment="1">
      <alignment vertical="center"/>
    </xf>
    <xf numFmtId="0" fontId="0" fillId="67" borderId="38" xfId="0" applyFill="1" applyBorder="1" applyAlignment="1">
      <alignment horizontal="left" vertical="top" wrapText="1"/>
    </xf>
    <xf numFmtId="0" fontId="0" fillId="67" borderId="38" xfId="0" applyFill="1" applyBorder="1" applyAlignment="1">
      <alignment horizontal="right" vertical="center" wrapText="1"/>
    </xf>
    <xf numFmtId="0" fontId="0" fillId="67" borderId="0" xfId="0" applyFill="1" applyAlignment="1">
      <alignment vertical="center"/>
    </xf>
    <xf numFmtId="2" fontId="0" fillId="67" borderId="39" xfId="0" applyNumberFormat="1" applyFill="1" applyBorder="1" applyAlignment="1">
      <alignment vertical="center"/>
    </xf>
    <xf numFmtId="2" fontId="0" fillId="67" borderId="41" xfId="0" applyNumberFormat="1" applyFill="1" applyBorder="1" applyAlignment="1">
      <alignment vertical="center"/>
    </xf>
    <xf numFmtId="2" fontId="0" fillId="67" borderId="0" xfId="0" applyNumberFormat="1" applyFill="1" applyAlignment="1">
      <alignment vertical="center"/>
    </xf>
    <xf numFmtId="0" fontId="0" fillId="67" borderId="43" xfId="0" applyFill="1" applyBorder="1" applyAlignment="1">
      <alignment horizontal="right" vertical="center" wrapText="1"/>
    </xf>
    <xf numFmtId="0" fontId="52" fillId="67" borderId="14" xfId="0" applyFont="1" applyFill="1"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xf>
    <xf numFmtId="4" fontId="77" fillId="67" borderId="48" xfId="0" applyNumberFormat="1" applyFont="1" applyFill="1" applyBorder="1" applyAlignment="1">
      <alignment horizontal="center" vertical="center"/>
    </xf>
    <xf numFmtId="4" fontId="44" fillId="67" borderId="17" xfId="0" applyNumberFormat="1" applyFont="1" applyFill="1" applyBorder="1" applyAlignment="1">
      <alignment vertical="center" wrapText="1"/>
    </xf>
    <xf numFmtId="4" fontId="44" fillId="67" borderId="14" xfId="0" applyNumberFormat="1" applyFont="1" applyFill="1" applyBorder="1" applyAlignment="1">
      <alignment vertical="center" wrapText="1"/>
    </xf>
    <xf numFmtId="4" fontId="0" fillId="0" borderId="25" xfId="0" applyNumberFormat="1" applyBorder="1" applyAlignment="1">
      <alignment horizontal="center" vertical="top"/>
    </xf>
    <xf numFmtId="4" fontId="0" fillId="0" borderId="0" xfId="0" applyNumberFormat="1" applyBorder="1" applyAlignment="1">
      <alignment horizontal="center" vertical="top"/>
    </xf>
    <xf numFmtId="4" fontId="0" fillId="0" borderId="26" xfId="0" applyNumberFormat="1" applyBorder="1" applyAlignment="1">
      <alignment horizontal="center" vertical="top"/>
    </xf>
    <xf numFmtId="4" fontId="77" fillId="67" borderId="14" xfId="0" applyNumberFormat="1" applyFont="1" applyFill="1" applyBorder="1" applyAlignment="1">
      <alignment horizontal="center" vertical="center"/>
    </xf>
    <xf numFmtId="0" fontId="92" fillId="67" borderId="68" xfId="2227" applyFont="1" applyFill="1" applyBorder="1" applyAlignment="1">
      <alignment vertical="center"/>
    </xf>
    <xf numFmtId="0" fontId="92" fillId="67" borderId="69" xfId="2227" applyFont="1" applyFill="1" applyBorder="1" applyAlignment="1">
      <alignment vertical="center"/>
    </xf>
    <xf numFmtId="0" fontId="93" fillId="67" borderId="69" xfId="2227" applyFont="1" applyFill="1" applyBorder="1" applyAlignment="1">
      <alignment vertical="center"/>
    </xf>
    <xf numFmtId="0" fontId="94" fillId="67" borderId="69" xfId="2227" applyFont="1" applyFill="1" applyBorder="1" applyAlignment="1">
      <alignment vertical="center"/>
    </xf>
    <xf numFmtId="0" fontId="92" fillId="67" borderId="70" xfId="2227" applyFont="1" applyFill="1" applyBorder="1" applyAlignment="1">
      <alignment vertical="center"/>
    </xf>
    <xf numFmtId="44" fontId="68" fillId="74" borderId="73" xfId="2228" applyFont="1" applyFill="1" applyBorder="1" applyAlignment="1">
      <alignment vertical="center"/>
    </xf>
    <xf numFmtId="44" fontId="83" fillId="74" borderId="74" xfId="2228" applyFont="1" applyFill="1" applyBorder="1" applyAlignment="1">
      <alignment vertical="center"/>
    </xf>
    <xf numFmtId="44" fontId="83" fillId="74" borderId="75" xfId="2228" applyFont="1" applyFill="1" applyBorder="1" applyAlignment="1">
      <alignment vertical="center"/>
    </xf>
    <xf numFmtId="0" fontId="68" fillId="75" borderId="81" xfId="2227" applyFont="1" applyFill="1" applyBorder="1" applyAlignment="1">
      <alignment vertical="center"/>
    </xf>
    <xf numFmtId="0" fontId="95" fillId="76" borderId="86" xfId="0" applyFont="1" applyFill="1" applyBorder="1" applyAlignment="1">
      <alignment vertical="center" wrapText="1"/>
    </xf>
    <xf numFmtId="0" fontId="95" fillId="76" borderId="86" xfId="0" applyFont="1" applyFill="1" applyBorder="1" applyAlignment="1">
      <alignment horizontal="center" vertical="center" wrapText="1"/>
    </xf>
    <xf numFmtId="0" fontId="95" fillId="76" borderId="87" xfId="0" applyFont="1" applyFill="1" applyBorder="1" applyAlignment="1">
      <alignment vertical="center" wrapText="1"/>
    </xf>
    <xf numFmtId="0" fontId="44" fillId="67" borderId="88" xfId="2227" applyFont="1" applyFill="1" applyBorder="1" applyAlignment="1">
      <alignment horizontal="center" vertical="center"/>
    </xf>
    <xf numFmtId="0" fontId="44" fillId="67" borderId="49" xfId="2227" applyFont="1" applyFill="1" applyBorder="1" applyAlignment="1">
      <alignment horizontal="center" vertical="center"/>
    </xf>
    <xf numFmtId="0" fontId="44" fillId="67" borderId="14" xfId="2227" applyFont="1" applyFill="1" applyBorder="1" applyAlignment="1">
      <alignment horizontal="left" vertical="center"/>
    </xf>
    <xf numFmtId="0" fontId="95" fillId="67" borderId="14" xfId="0" applyFont="1" applyFill="1" applyBorder="1" applyAlignment="1">
      <alignment horizontal="center" vertical="center" wrapText="1"/>
    </xf>
    <xf numFmtId="0" fontId="44" fillId="67" borderId="14" xfId="2227" applyFont="1" applyFill="1" applyBorder="1" applyAlignment="1">
      <alignment horizontal="center" vertical="center"/>
    </xf>
    <xf numFmtId="0" fontId="13" fillId="75" borderId="88" xfId="583" applyFill="1" applyBorder="1" applyAlignment="1">
      <alignment horizontal="center" vertical="center" wrapText="1"/>
    </xf>
    <xf numFmtId="0" fontId="44" fillId="75" borderId="14" xfId="2227" applyFont="1" applyFill="1" applyBorder="1" applyAlignment="1">
      <alignment horizontal="center" vertical="center"/>
    </xf>
    <xf numFmtId="0" fontId="44" fillId="75" borderId="14" xfId="2227" applyFont="1" applyFill="1" applyBorder="1" applyAlignment="1">
      <alignment horizontal="left" vertical="center" wrapText="1"/>
    </xf>
    <xf numFmtId="0" fontId="83" fillId="75" borderId="14" xfId="583" applyFont="1" applyFill="1" applyBorder="1" applyAlignment="1">
      <alignment horizontal="center" vertical="center" wrapText="1"/>
    </xf>
    <xf numFmtId="44" fontId="13" fillId="75" borderId="14" xfId="2228" applyFill="1" applyBorder="1" applyAlignment="1">
      <alignment horizontal="center" vertical="center"/>
    </xf>
    <xf numFmtId="44" fontId="13" fillId="75" borderId="89" xfId="2228" applyFill="1" applyBorder="1" applyAlignment="1">
      <alignment horizontal="center" vertical="center"/>
    </xf>
    <xf numFmtId="44" fontId="44" fillId="74" borderId="14" xfId="2228" applyFont="1" applyFill="1" applyBorder="1" applyAlignment="1">
      <alignment horizontal="center" vertical="center"/>
    </xf>
    <xf numFmtId="0" fontId="95" fillId="76" borderId="91" xfId="0" applyFont="1" applyFill="1" applyBorder="1" applyAlignment="1">
      <alignment horizontal="center" vertical="center" wrapText="1"/>
    </xf>
    <xf numFmtId="0" fontId="96" fillId="76" borderId="92" xfId="0" applyFont="1" applyFill="1" applyBorder="1" applyAlignment="1">
      <alignment horizontal="center" vertical="center" wrapText="1"/>
    </xf>
    <xf numFmtId="0" fontId="95" fillId="76" borderId="92" xfId="0" applyFont="1" applyFill="1" applyBorder="1" applyAlignment="1">
      <alignment horizontal="center" vertical="center" wrapText="1"/>
    </xf>
    <xf numFmtId="0" fontId="95" fillId="76" borderId="95" xfId="0" applyFont="1" applyFill="1" applyBorder="1" applyAlignment="1">
      <alignment horizontal="center" vertical="center" wrapText="1"/>
    </xf>
    <xf numFmtId="0" fontId="55" fillId="67" borderId="49" xfId="2227" applyFont="1" applyFill="1" applyBorder="1" applyAlignment="1">
      <alignment horizontal="center" vertical="center"/>
    </xf>
    <xf numFmtId="0" fontId="44" fillId="67" borderId="14" xfId="2227" applyFont="1" applyFill="1" applyBorder="1" applyAlignment="1">
      <alignment horizontal="left" vertical="center" wrapText="1"/>
    </xf>
    <xf numFmtId="2" fontId="44" fillId="67" borderId="14" xfId="2227" applyNumberFormat="1" applyFont="1" applyFill="1" applyBorder="1" applyAlignment="1">
      <alignment horizontal="center" vertical="center" wrapText="1"/>
    </xf>
    <xf numFmtId="0" fontId="44" fillId="75" borderId="14" xfId="2227" applyFont="1" applyFill="1" applyBorder="1" applyAlignment="1">
      <alignment horizontal="left" vertical="center"/>
    </xf>
    <xf numFmtId="44" fontId="44" fillId="75" borderId="14" xfId="2228" applyFont="1" applyFill="1" applyBorder="1" applyAlignment="1">
      <alignment horizontal="center" vertical="center" wrapText="1"/>
    </xf>
    <xf numFmtId="44" fontId="44" fillId="74" borderId="96" xfId="2228" applyFont="1" applyFill="1" applyBorder="1" applyAlignment="1">
      <alignment horizontal="center" vertical="center"/>
    </xf>
    <xf numFmtId="44" fontId="97" fillId="73" borderId="99" xfId="2228" applyFont="1" applyFill="1" applyBorder="1" applyAlignment="1">
      <alignment horizontal="center" vertical="center"/>
    </xf>
    <xf numFmtId="0" fontId="44" fillId="74" borderId="96" xfId="2228" applyNumberFormat="1" applyFont="1" applyFill="1" applyBorder="1" applyAlignment="1">
      <alignment horizontal="center" vertical="center"/>
    </xf>
    <xf numFmtId="0" fontId="13" fillId="67" borderId="14" xfId="583" applyFill="1" applyBorder="1" applyAlignment="1">
      <alignment horizontal="center" vertical="center" wrapText="1"/>
    </xf>
    <xf numFmtId="44" fontId="44" fillId="0" borderId="14" xfId="2227" applyNumberFormat="1" applyFont="1" applyBorder="1" applyAlignment="1">
      <alignment horizontal="left" vertical="center" wrapText="1"/>
    </xf>
    <xf numFmtId="44" fontId="44" fillId="67" borderId="14" xfId="2228" applyFont="1" applyFill="1" applyBorder="1" applyAlignment="1">
      <alignment horizontal="center" vertical="center" wrapText="1"/>
    </xf>
    <xf numFmtId="0" fontId="95" fillId="76" borderId="83" xfId="0" applyFont="1" applyFill="1" applyBorder="1" applyAlignment="1">
      <alignment horizontal="center" vertical="center" wrapText="1"/>
    </xf>
    <xf numFmtId="0" fontId="65" fillId="67" borderId="14" xfId="583" applyFont="1" applyFill="1" applyBorder="1" applyAlignment="1">
      <alignment horizontal="center" vertical="center"/>
    </xf>
    <xf numFmtId="0" fontId="55" fillId="67" borderId="14" xfId="2227" applyFont="1" applyFill="1" applyBorder="1" applyAlignment="1">
      <alignment horizontal="center" vertical="center" wrapText="1"/>
    </xf>
    <xf numFmtId="2" fontId="55" fillId="67" borderId="14" xfId="2227" applyNumberFormat="1" applyFont="1" applyFill="1" applyBorder="1" applyAlignment="1">
      <alignment horizontal="center" vertical="center"/>
    </xf>
    <xf numFmtId="44" fontId="95" fillId="76" borderId="111" xfId="2228" applyFont="1" applyFill="1" applyBorder="1" applyAlignment="1">
      <alignment vertical="center" wrapText="1"/>
    </xf>
    <xf numFmtId="0" fontId="44" fillId="67" borderId="14" xfId="2227" quotePrefix="1" applyFont="1" applyFill="1" applyBorder="1" applyAlignment="1">
      <alignment horizontal="center" vertical="center"/>
    </xf>
    <xf numFmtId="49" fontId="93" fillId="67" borderId="69" xfId="2227" applyNumberFormat="1" applyFont="1" applyFill="1" applyBorder="1" applyAlignment="1">
      <alignment vertical="center"/>
    </xf>
    <xf numFmtId="4" fontId="0" fillId="67" borderId="48" xfId="0" applyNumberFormat="1" applyFill="1" applyBorder="1" applyAlignment="1">
      <alignment horizontal="left" vertical="center"/>
    </xf>
    <xf numFmtId="4" fontId="0" fillId="67" borderId="48" xfId="0" applyNumberFormat="1" applyFill="1" applyBorder="1" applyAlignment="1">
      <alignment horizontal="left" vertical="center" wrapText="1"/>
    </xf>
    <xf numFmtId="180" fontId="0" fillId="0" borderId="0" xfId="0" applyNumberFormat="1" applyAlignment="1">
      <alignment horizontal="center" vertical="center"/>
    </xf>
    <xf numFmtId="2" fontId="0" fillId="0" borderId="0" xfId="0" applyNumberFormat="1" applyAlignment="1">
      <alignment vertical="center"/>
    </xf>
    <xf numFmtId="2" fontId="83" fillId="77" borderId="0" xfId="0" applyNumberFormat="1" applyFont="1" applyFill="1" applyAlignment="1">
      <alignment vertical="center" wrapText="1"/>
    </xf>
    <xf numFmtId="2" fontId="83" fillId="77" borderId="0" xfId="0" applyNumberFormat="1" applyFont="1" applyFill="1" applyAlignment="1">
      <alignment horizontal="center" vertical="center" wrapText="1"/>
    </xf>
    <xf numFmtId="0" fontId="98" fillId="76" borderId="113" xfId="0" applyFont="1" applyFill="1" applyBorder="1" applyAlignment="1">
      <alignment horizontal="center" vertical="center" wrapText="1"/>
    </xf>
    <xf numFmtId="0" fontId="98" fillId="76" borderId="114" xfId="0" applyFont="1" applyFill="1" applyBorder="1" applyAlignment="1">
      <alignment horizontal="center" vertical="center" wrapText="1"/>
    </xf>
    <xf numFmtId="180" fontId="98" fillId="76" borderId="114" xfId="0" applyNumberFormat="1" applyFont="1" applyFill="1" applyBorder="1" applyAlignment="1">
      <alignment horizontal="center" vertical="center" wrapText="1"/>
    </xf>
    <xf numFmtId="2" fontId="98" fillId="76" borderId="115" xfId="0" applyNumberFormat="1" applyFont="1" applyFill="1" applyBorder="1" applyAlignment="1">
      <alignment horizontal="center" vertical="center" wrapText="1"/>
    </xf>
    <xf numFmtId="2" fontId="95" fillId="78" borderId="0" xfId="0" applyNumberFormat="1" applyFont="1" applyFill="1" applyAlignment="1">
      <alignment vertical="center"/>
    </xf>
    <xf numFmtId="0" fontId="83" fillId="74" borderId="119" xfId="0" applyFont="1" applyFill="1" applyBorder="1" applyAlignment="1">
      <alignment horizontal="left" vertical="center" wrapText="1"/>
    </xf>
    <xf numFmtId="0" fontId="83" fillId="74" borderId="119" xfId="0" applyFont="1" applyFill="1" applyBorder="1" applyAlignment="1">
      <alignment vertical="center"/>
    </xf>
    <xf numFmtId="0" fontId="83" fillId="74" borderId="120" xfId="0" applyFont="1" applyFill="1" applyBorder="1" applyAlignment="1">
      <alignment vertical="center"/>
    </xf>
    <xf numFmtId="180" fontId="83" fillId="74" borderId="28" xfId="0" applyNumberFormat="1" applyFont="1" applyFill="1" applyBorder="1" applyAlignment="1">
      <alignment vertical="center"/>
    </xf>
    <xf numFmtId="0" fontId="83" fillId="74" borderId="28" xfId="0" applyFont="1" applyFill="1" applyBorder="1" applyAlignment="1">
      <alignment vertical="center"/>
    </xf>
    <xf numFmtId="2" fontId="83" fillId="74" borderId="117" xfId="0" applyNumberFormat="1" applyFont="1" applyFill="1" applyBorder="1" applyAlignment="1">
      <alignment vertical="center"/>
    </xf>
    <xf numFmtId="2" fontId="83" fillId="74" borderId="0" xfId="0" applyNumberFormat="1" applyFont="1" applyFill="1" applyAlignment="1">
      <alignment horizontal="center" vertical="center"/>
    </xf>
    <xf numFmtId="0" fontId="83" fillId="67" borderId="14" xfId="0" applyFont="1" applyFill="1" applyBorder="1" applyAlignment="1">
      <alignment horizontal="center" vertical="center"/>
    </xf>
    <xf numFmtId="0" fontId="0" fillId="67" borderId="14" xfId="0" applyFill="1" applyBorder="1" applyAlignment="1">
      <alignment horizontal="right" vertical="center"/>
    </xf>
    <xf numFmtId="181" fontId="0" fillId="67" borderId="14" xfId="0" applyNumberFormat="1" applyFill="1" applyBorder="1" applyAlignment="1">
      <alignment horizontal="center" vertical="center"/>
    </xf>
    <xf numFmtId="181" fontId="0" fillId="0" borderId="14" xfId="0" applyNumberFormat="1" applyBorder="1" applyAlignment="1">
      <alignment horizontal="center" vertical="center"/>
    </xf>
    <xf numFmtId="2" fontId="83" fillId="67" borderId="28" xfId="0" applyNumberFormat="1" applyFont="1" applyFill="1" applyBorder="1" applyAlignment="1">
      <alignment vertical="center"/>
    </xf>
    <xf numFmtId="2" fontId="0" fillId="67" borderId="28" xfId="0" applyNumberFormat="1" applyFill="1" applyBorder="1" applyAlignment="1">
      <alignment vertical="center"/>
    </xf>
    <xf numFmtId="2" fontId="83" fillId="67" borderId="117" xfId="0" applyNumberFormat="1" applyFont="1" applyFill="1" applyBorder="1" applyAlignment="1">
      <alignment vertical="center"/>
    </xf>
    <xf numFmtId="4" fontId="0" fillId="67" borderId="49" xfId="0" applyNumberFormat="1" applyFill="1" applyBorder="1" applyAlignment="1">
      <alignment horizontal="center" vertical="center" wrapText="1"/>
    </xf>
    <xf numFmtId="4" fontId="0" fillId="67" borderId="14" xfId="0" applyNumberFormat="1" applyFill="1" applyBorder="1" applyAlignment="1">
      <alignment horizontal="left" vertical="center" wrapText="1"/>
    </xf>
    <xf numFmtId="2" fontId="0" fillId="77" borderId="0" xfId="0" applyNumberFormat="1" applyFill="1" applyAlignment="1">
      <alignment vertical="center"/>
    </xf>
    <xf numFmtId="0" fontId="44" fillId="0" borderId="15" xfId="0" applyFont="1" applyBorder="1"/>
    <xf numFmtId="2" fontId="0" fillId="0" borderId="14" xfId="0" applyNumberFormat="1" applyBorder="1" applyAlignment="1">
      <alignment horizontal="center" vertical="center"/>
    </xf>
    <xf numFmtId="0" fontId="0" fillId="67" borderId="116" xfId="0" applyFill="1" applyBorder="1" applyAlignment="1">
      <alignment vertical="center"/>
    </xf>
    <xf numFmtId="0" fontId="0" fillId="67" borderId="16" xfId="0" applyFill="1" applyBorder="1" applyAlignment="1">
      <alignment horizontal="center" vertical="center"/>
    </xf>
    <xf numFmtId="0" fontId="0" fillId="67" borderId="23" xfId="0" applyFill="1" applyBorder="1" applyAlignment="1">
      <alignment horizontal="center" vertical="center"/>
    </xf>
    <xf numFmtId="0" fontId="0" fillId="67" borderId="23" xfId="0" applyFill="1" applyBorder="1" applyAlignment="1">
      <alignment horizontal="left" vertical="center"/>
    </xf>
    <xf numFmtId="4" fontId="0" fillId="67" borderId="78" xfId="0" applyNumberFormat="1" applyFill="1" applyBorder="1" applyAlignment="1">
      <alignment horizontal="center" vertical="center"/>
    </xf>
    <xf numFmtId="181" fontId="0" fillId="67" borderId="26" xfId="0" applyNumberFormat="1" applyFill="1" applyBorder="1" applyAlignment="1">
      <alignment horizontal="center" vertical="center"/>
    </xf>
    <xf numFmtId="4" fontId="83" fillId="0" borderId="16" xfId="0" applyNumberFormat="1" applyFont="1" applyBorder="1" applyAlignment="1">
      <alignment horizontal="center" vertical="top" wrapText="1"/>
    </xf>
    <xf numFmtId="4" fontId="83" fillId="0" borderId="14" xfId="0" applyNumberFormat="1" applyFont="1" applyBorder="1" applyAlignment="1">
      <alignment horizontal="center" vertical="top" wrapText="1"/>
    </xf>
    <xf numFmtId="0" fontId="83" fillId="74" borderId="118" xfId="0" applyFont="1" applyFill="1" applyBorder="1" applyAlignment="1">
      <alignment horizontal="center" vertical="center"/>
    </xf>
    <xf numFmtId="0" fontId="99" fillId="67" borderId="14" xfId="0" applyFont="1" applyFill="1" applyBorder="1" applyAlignment="1">
      <alignment horizontal="center" vertical="center"/>
    </xf>
    <xf numFmtId="0" fontId="0" fillId="0" borderId="0" xfId="0" applyAlignment="1">
      <alignment horizontal="right" vertical="center"/>
    </xf>
    <xf numFmtId="2" fontId="83" fillId="77" borderId="0" xfId="0" applyNumberFormat="1" applyFont="1" applyFill="1" applyAlignment="1">
      <alignment vertical="center"/>
    </xf>
    <xf numFmtId="2" fontId="0" fillId="67" borderId="116" xfId="0" applyNumberFormat="1" applyFill="1" applyBorder="1" applyAlignment="1">
      <alignment horizontal="center" vertical="center"/>
    </xf>
    <xf numFmtId="0" fontId="0" fillId="67" borderId="116" xfId="0" applyFill="1" applyBorder="1" applyAlignment="1">
      <alignment horizontal="center" vertical="center"/>
    </xf>
    <xf numFmtId="0" fontId="100" fillId="0" borderId="0" xfId="0" applyFont="1" applyAlignment="1">
      <alignment vertical="center"/>
    </xf>
    <xf numFmtId="0" fontId="80" fillId="74" borderId="28" xfId="0" applyFont="1" applyFill="1" applyBorder="1" applyAlignment="1">
      <alignment vertical="center"/>
    </xf>
    <xf numFmtId="2" fontId="101" fillId="67" borderId="28" xfId="0" applyNumberFormat="1" applyFont="1" applyFill="1" applyBorder="1" applyAlignment="1">
      <alignment vertical="center"/>
    </xf>
    <xf numFmtId="2" fontId="100" fillId="67" borderId="28" xfId="0" applyNumberFormat="1" applyFont="1" applyFill="1" applyBorder="1" applyAlignment="1">
      <alignment vertical="center"/>
    </xf>
    <xf numFmtId="0" fontId="52" fillId="67" borderId="116" xfId="0" applyFont="1" applyFill="1" applyBorder="1" applyAlignment="1">
      <alignment horizontal="center" vertical="center"/>
    </xf>
    <xf numFmtId="0" fontId="0" fillId="67" borderId="142" xfId="0" applyFill="1" applyBorder="1" applyAlignment="1">
      <alignment horizontal="center" vertical="center"/>
    </xf>
    <xf numFmtId="181" fontId="0" fillId="67" borderId="142" xfId="0" applyNumberFormat="1" applyFill="1" applyBorder="1" applyAlignment="1">
      <alignment horizontal="center" vertical="center"/>
    </xf>
    <xf numFmtId="0" fontId="0" fillId="67" borderId="142" xfId="0" applyFill="1" applyBorder="1" applyAlignment="1">
      <alignment horizontal="center" vertical="center" wrapText="1"/>
    </xf>
    <xf numFmtId="0" fontId="0" fillId="67" borderId="14" xfId="0" applyFill="1" applyBorder="1" applyAlignment="1">
      <alignment horizontal="center" vertical="center"/>
    </xf>
    <xf numFmtId="0" fontId="0" fillId="67" borderId="14" xfId="0" applyFill="1" applyBorder="1" applyAlignment="1">
      <alignment horizontal="center" vertical="center"/>
    </xf>
    <xf numFmtId="0" fontId="52" fillId="0" borderId="14" xfId="0" applyFont="1" applyBorder="1" applyAlignment="1">
      <alignment horizontal="center"/>
    </xf>
    <xf numFmtId="182" fontId="0" fillId="0" borderId="14" xfId="2226" applyNumberFormat="1" applyFont="1" applyBorder="1" applyAlignment="1">
      <alignment horizontal="center"/>
    </xf>
    <xf numFmtId="182" fontId="0" fillId="0" borderId="14" xfId="0" applyNumberFormat="1" applyBorder="1" applyAlignment="1">
      <alignment horizontal="center"/>
    </xf>
    <xf numFmtId="49" fontId="52" fillId="80" borderId="15" xfId="2190" applyNumberFormat="1" applyFont="1" applyFill="1" applyBorder="1" applyAlignment="1">
      <alignment horizontal="center" vertical="center"/>
    </xf>
    <xf numFmtId="0" fontId="52" fillId="80" borderId="15" xfId="0" applyFont="1" applyFill="1" applyBorder="1" applyAlignment="1">
      <alignment vertical="center"/>
    </xf>
    <xf numFmtId="0" fontId="52" fillId="80" borderId="17" xfId="0" applyFont="1" applyFill="1" applyBorder="1" applyAlignment="1">
      <alignment vertical="center"/>
    </xf>
    <xf numFmtId="0" fontId="52" fillId="80" borderId="17" xfId="0" applyFont="1" applyFill="1" applyBorder="1" applyAlignment="1">
      <alignment horizontal="center" vertical="center"/>
    </xf>
    <xf numFmtId="4" fontId="52" fillId="80" borderId="17" xfId="0" applyNumberFormat="1" applyFont="1" applyFill="1" applyBorder="1" applyAlignment="1">
      <alignment horizontal="center" vertical="center"/>
    </xf>
    <xf numFmtId="4" fontId="52" fillId="80" borderId="16" xfId="0" applyNumberFormat="1" applyFont="1" applyFill="1" applyBorder="1" applyAlignment="1">
      <alignment horizontal="center" vertical="center"/>
    </xf>
    <xf numFmtId="0" fontId="52" fillId="80" borderId="25" xfId="0" applyFont="1" applyFill="1" applyBorder="1" applyAlignment="1">
      <alignment horizontal="left" vertical="center"/>
    </xf>
    <xf numFmtId="0" fontId="52" fillId="80" borderId="25" xfId="0" applyFont="1" applyFill="1" applyBorder="1" applyAlignment="1">
      <alignment horizontal="center" vertical="center"/>
    </xf>
    <xf numFmtId="4" fontId="52" fillId="80" borderId="25" xfId="0" applyNumberFormat="1" applyFont="1" applyFill="1" applyBorder="1" applyAlignment="1">
      <alignment horizontal="center" vertical="center"/>
    </xf>
    <xf numFmtId="4" fontId="52" fillId="80" borderId="20" xfId="0" applyNumberFormat="1" applyFont="1" applyFill="1" applyBorder="1" applyAlignment="1">
      <alignment horizontal="center" vertical="center"/>
    </xf>
    <xf numFmtId="0" fontId="52" fillId="80" borderId="17" xfId="0" applyFont="1" applyFill="1" applyBorder="1" applyAlignment="1">
      <alignment horizontal="left" vertical="center"/>
    </xf>
    <xf numFmtId="0" fontId="52" fillId="80" borderId="15" xfId="0" applyFont="1" applyFill="1" applyBorder="1" applyAlignment="1">
      <alignment horizontal="center" vertical="center"/>
    </xf>
    <xf numFmtId="49" fontId="52" fillId="80" borderId="14" xfId="2190" applyNumberFormat="1" applyFont="1" applyFill="1" applyBorder="1" applyAlignment="1">
      <alignment horizontal="center" vertical="center"/>
    </xf>
    <xf numFmtId="4" fontId="69" fillId="80" borderId="14" xfId="0" applyNumberFormat="1" applyFont="1" applyFill="1" applyBorder="1" applyAlignment="1">
      <alignment vertical="center"/>
    </xf>
    <xf numFmtId="0" fontId="52" fillId="67" borderId="15" xfId="0" applyFont="1" applyFill="1" applyBorder="1" applyAlignment="1">
      <alignment horizontal="left" vertical="center"/>
    </xf>
    <xf numFmtId="0" fontId="52" fillId="67" borderId="17" xfId="0" applyFont="1" applyFill="1" applyBorder="1" applyAlignment="1">
      <alignment horizontal="left" vertical="center"/>
    </xf>
    <xf numFmtId="0" fontId="52" fillId="67" borderId="16" xfId="0" applyFont="1" applyFill="1" applyBorder="1" applyAlignment="1">
      <alignment horizontal="left" vertical="center"/>
    </xf>
    <xf numFmtId="0" fontId="52" fillId="80" borderId="19" xfId="0" applyFont="1" applyFill="1" applyBorder="1" applyAlignment="1">
      <alignment horizontal="left" vertical="center"/>
    </xf>
    <xf numFmtId="0" fontId="52" fillId="80" borderId="25" xfId="0" applyFont="1" applyFill="1" applyBorder="1" applyAlignment="1">
      <alignment horizontal="left" vertical="center"/>
    </xf>
    <xf numFmtId="0" fontId="52" fillId="80" borderId="15" xfId="0" applyFont="1" applyFill="1" applyBorder="1" applyAlignment="1">
      <alignment horizontal="left" vertical="center"/>
    </xf>
    <xf numFmtId="0" fontId="52" fillId="80" borderId="17" xfId="0" applyFont="1" applyFill="1" applyBorder="1" applyAlignment="1">
      <alignment horizontal="left" vertical="center"/>
    </xf>
    <xf numFmtId="0" fontId="52" fillId="80" borderId="20" xfId="0" applyFont="1" applyFill="1" applyBorder="1" applyAlignment="1">
      <alignment horizontal="left" vertical="center"/>
    </xf>
    <xf numFmtId="0" fontId="52" fillId="80" borderId="16" xfId="0" applyFont="1" applyFill="1" applyBorder="1" applyAlignment="1">
      <alignment horizontal="left" vertical="center"/>
    </xf>
    <xf numFmtId="0" fontId="52" fillId="67" borderId="14" xfId="0" applyFont="1" applyFill="1" applyBorder="1" applyAlignment="1">
      <alignment horizontal="center" vertical="center"/>
    </xf>
    <xf numFmtId="0" fontId="52" fillId="67" borderId="15" xfId="0" applyFont="1" applyFill="1" applyBorder="1" applyAlignment="1">
      <alignment vertical="center"/>
    </xf>
    <xf numFmtId="0" fontId="52" fillId="67" borderId="17" xfId="0" applyFont="1" applyFill="1" applyBorder="1" applyAlignment="1">
      <alignment vertical="center"/>
    </xf>
    <xf numFmtId="0" fontId="52" fillId="67" borderId="16" xfId="0" applyFont="1" applyFill="1" applyBorder="1" applyAlignment="1">
      <alignment vertical="center"/>
    </xf>
    <xf numFmtId="0" fontId="0" fillId="0" borderId="25" xfId="0" applyBorder="1" applyAlignment="1">
      <alignment horizontal="center"/>
    </xf>
    <xf numFmtId="0" fontId="0" fillId="0" borderId="20" xfId="0" applyBorder="1" applyAlignment="1">
      <alignment horizontal="center"/>
    </xf>
    <xf numFmtId="0" fontId="0" fillId="0" borderId="0" xfId="0" applyBorder="1" applyAlignment="1">
      <alignment horizontal="center"/>
    </xf>
    <xf numFmtId="0" fontId="0" fillId="0" borderId="22" xfId="0" applyBorder="1" applyAlignment="1">
      <alignment horizontal="center"/>
    </xf>
    <xf numFmtId="0" fontId="0" fillId="0" borderId="26" xfId="0" applyBorder="1" applyAlignment="1">
      <alignment horizontal="center"/>
    </xf>
    <xf numFmtId="0" fontId="0" fillId="0" borderId="24" xfId="0" applyBorder="1" applyAlignment="1">
      <alignment horizontal="center"/>
    </xf>
    <xf numFmtId="0" fontId="0" fillId="0" borderId="19" xfId="0" applyBorder="1" applyAlignment="1">
      <alignment horizontal="center"/>
    </xf>
    <xf numFmtId="0" fontId="0" fillId="0" borderId="21" xfId="0" applyBorder="1" applyAlignment="1">
      <alignment horizontal="center"/>
    </xf>
    <xf numFmtId="0" fontId="0" fillId="0" borderId="23" xfId="0" applyBorder="1" applyAlignment="1">
      <alignment horizontal="center"/>
    </xf>
    <xf numFmtId="0" fontId="0" fillId="0" borderId="25" xfId="0" applyBorder="1" applyAlignment="1">
      <alignment horizontal="center" vertical="top" wrapText="1"/>
    </xf>
    <xf numFmtId="0" fontId="0" fillId="0" borderId="25" xfId="0" applyBorder="1" applyAlignment="1">
      <alignment horizontal="center" vertical="top"/>
    </xf>
    <xf numFmtId="0" fontId="0" fillId="0" borderId="0" xfId="0" applyBorder="1" applyAlignment="1">
      <alignment horizontal="center" vertical="top"/>
    </xf>
    <xf numFmtId="0" fontId="0" fillId="0" borderId="26" xfId="0" applyBorder="1" applyAlignment="1">
      <alignment horizontal="center" vertical="top"/>
    </xf>
    <xf numFmtId="0" fontId="52" fillId="67" borderId="49" xfId="0" applyFont="1" applyFill="1" applyBorder="1" applyAlignment="1">
      <alignment horizontal="center" vertical="center"/>
    </xf>
    <xf numFmtId="0" fontId="52" fillId="80" borderId="15" xfId="0" applyFont="1" applyFill="1" applyBorder="1" applyAlignment="1">
      <alignment vertical="center"/>
    </xf>
    <xf numFmtId="0" fontId="52" fillId="80" borderId="17" xfId="0" applyFont="1" applyFill="1" applyBorder="1" applyAlignment="1">
      <alignment vertical="center"/>
    </xf>
    <xf numFmtId="0" fontId="75" fillId="0" borderId="15" xfId="0" applyFont="1" applyBorder="1" applyAlignment="1">
      <alignment horizontal="left" wrapText="1"/>
    </xf>
    <xf numFmtId="0" fontId="75" fillId="0" borderId="17" xfId="0" applyFont="1" applyBorder="1" applyAlignment="1">
      <alignment horizontal="left"/>
    </xf>
    <xf numFmtId="0" fontId="75" fillId="0" borderId="16" xfId="0" applyFont="1" applyBorder="1" applyAlignment="1">
      <alignment horizontal="left"/>
    </xf>
    <xf numFmtId="0" fontId="76" fillId="0" borderId="15" xfId="0" applyFont="1" applyBorder="1" applyAlignment="1">
      <alignment horizontal="left" wrapText="1"/>
    </xf>
    <xf numFmtId="0" fontId="76" fillId="0" borderId="17" xfId="0" applyFont="1" applyBorder="1" applyAlignment="1">
      <alignment horizontal="left" wrapText="1"/>
    </xf>
    <xf numFmtId="0" fontId="76" fillId="0" borderId="16" xfId="0" applyFont="1" applyBorder="1" applyAlignment="1">
      <alignment horizontal="left" wrapText="1"/>
    </xf>
    <xf numFmtId="0" fontId="52" fillId="65" borderId="0" xfId="0" applyFont="1" applyFill="1" applyBorder="1" applyAlignment="1">
      <alignment horizontal="left"/>
    </xf>
    <xf numFmtId="0" fontId="52" fillId="80" borderId="16" xfId="0" applyFont="1" applyFill="1" applyBorder="1" applyAlignment="1">
      <alignment vertical="center"/>
    </xf>
    <xf numFmtId="0" fontId="52" fillId="67" borderId="0" xfId="0" applyFont="1" applyFill="1" applyBorder="1" applyAlignment="1">
      <alignment horizontal="center" wrapText="1"/>
    </xf>
    <xf numFmtId="0" fontId="52" fillId="67" borderId="15" xfId="0" applyFont="1" applyFill="1" applyBorder="1" applyAlignment="1">
      <alignment horizontal="left" vertical="top"/>
    </xf>
    <xf numFmtId="0" fontId="52" fillId="67" borderId="17" xfId="0" applyFont="1" applyFill="1" applyBorder="1" applyAlignment="1">
      <alignment horizontal="left" vertical="top"/>
    </xf>
    <xf numFmtId="0" fontId="69" fillId="0" borderId="15" xfId="0" applyFont="1" applyBorder="1" applyAlignment="1">
      <alignment horizontal="left"/>
    </xf>
    <xf numFmtId="0" fontId="69" fillId="0" borderId="17" xfId="0" applyFont="1" applyBorder="1" applyAlignment="1">
      <alignment horizontal="left"/>
    </xf>
    <xf numFmtId="0" fontId="69" fillId="0" borderId="16" xfId="0" applyFont="1" applyBorder="1" applyAlignment="1">
      <alignment horizontal="left"/>
    </xf>
    <xf numFmtId="0" fontId="69" fillId="80" borderId="14" xfId="0" applyFont="1" applyFill="1" applyBorder="1" applyAlignment="1">
      <alignment horizontal="center" vertical="center"/>
    </xf>
    <xf numFmtId="0" fontId="53" fillId="0" borderId="15" xfId="0" applyFont="1" applyBorder="1" applyAlignment="1">
      <alignment horizontal="center"/>
    </xf>
    <xf numFmtId="0" fontId="53" fillId="0" borderId="17" xfId="0" applyFont="1" applyBorder="1" applyAlignment="1">
      <alignment horizontal="center"/>
    </xf>
    <xf numFmtId="0" fontId="53" fillId="0" borderId="16" xfId="0" applyFont="1" applyBorder="1" applyAlignment="1">
      <alignment horizontal="center"/>
    </xf>
    <xf numFmtId="0" fontId="52" fillId="67" borderId="15" xfId="0" applyFont="1" applyFill="1" applyBorder="1" applyAlignment="1">
      <alignment vertical="top"/>
    </xf>
    <xf numFmtId="0" fontId="52" fillId="67" borderId="17" xfId="0" applyFont="1" applyFill="1" applyBorder="1" applyAlignment="1">
      <alignment vertical="top"/>
    </xf>
    <xf numFmtId="0" fontId="13" fillId="0" borderId="14" xfId="0" applyFont="1" applyBorder="1" applyAlignment="1">
      <alignment horizontal="left"/>
    </xf>
    <xf numFmtId="0" fontId="81" fillId="71" borderId="14" xfId="0" applyFont="1" applyFill="1" applyBorder="1" applyAlignment="1">
      <alignment horizontal="center" vertical="center" wrapText="1"/>
    </xf>
    <xf numFmtId="0" fontId="82" fillId="71" borderId="14" xfId="0" applyFont="1" applyFill="1" applyBorder="1" applyAlignment="1">
      <alignment horizontal="center" vertical="center" wrapText="1"/>
    </xf>
    <xf numFmtId="49" fontId="85" fillId="70" borderId="19" xfId="0" applyNumberFormat="1" applyFont="1" applyFill="1" applyBorder="1" applyAlignment="1">
      <alignment horizontal="center" vertical="center" wrapText="1"/>
    </xf>
    <xf numFmtId="49" fontId="84" fillId="70" borderId="25" xfId="0" applyNumberFormat="1" applyFont="1" applyFill="1" applyBorder="1" applyAlignment="1">
      <alignment horizontal="center" vertical="center" wrapText="1"/>
    </xf>
    <xf numFmtId="49" fontId="84" fillId="70" borderId="20" xfId="0" applyNumberFormat="1" applyFont="1" applyFill="1" applyBorder="1" applyAlignment="1">
      <alignment horizontal="center" vertical="center" wrapText="1"/>
    </xf>
    <xf numFmtId="49" fontId="84" fillId="70" borderId="21" xfId="0" applyNumberFormat="1" applyFont="1" applyFill="1" applyBorder="1" applyAlignment="1">
      <alignment horizontal="center" vertical="center" wrapText="1"/>
    </xf>
    <xf numFmtId="49" fontId="84" fillId="70" borderId="0" xfId="0" applyNumberFormat="1" applyFont="1" applyFill="1" applyAlignment="1">
      <alignment horizontal="center" vertical="center" wrapText="1"/>
    </xf>
    <xf numFmtId="49" fontId="84" fillId="70" borderId="22" xfId="0" applyNumberFormat="1" applyFont="1" applyFill="1" applyBorder="1" applyAlignment="1">
      <alignment horizontal="center" vertical="center" wrapText="1"/>
    </xf>
    <xf numFmtId="49" fontId="84" fillId="70" borderId="23" xfId="0" applyNumberFormat="1" applyFont="1" applyFill="1" applyBorder="1" applyAlignment="1">
      <alignment horizontal="center" vertical="center" wrapText="1"/>
    </xf>
    <xf numFmtId="49" fontId="84" fillId="70" borderId="26" xfId="0" applyNumberFormat="1" applyFont="1" applyFill="1" applyBorder="1" applyAlignment="1">
      <alignment horizontal="center" vertical="center" wrapText="1"/>
    </xf>
    <xf numFmtId="49" fontId="84" fillId="70" borderId="24" xfId="0" applyNumberFormat="1" applyFont="1" applyFill="1" applyBorder="1" applyAlignment="1">
      <alignment horizontal="center" vertical="center" wrapText="1"/>
    </xf>
    <xf numFmtId="0" fontId="80" fillId="72" borderId="15" xfId="0" applyFont="1" applyFill="1" applyBorder="1" applyAlignment="1">
      <alignment horizontal="center" vertical="center"/>
    </xf>
    <xf numFmtId="0" fontId="80" fillId="72" borderId="17" xfId="0" applyFont="1" applyFill="1" applyBorder="1" applyAlignment="1">
      <alignment horizontal="center" vertical="center"/>
    </xf>
    <xf numFmtId="0" fontId="80" fillId="72" borderId="16" xfId="0" applyFont="1" applyFill="1" applyBorder="1" applyAlignment="1">
      <alignment horizontal="center" vertical="center"/>
    </xf>
    <xf numFmtId="0" fontId="13" fillId="0" borderId="14" xfId="0" applyFont="1" applyBorder="1" applyAlignment="1">
      <alignment horizontal="left" indent="7"/>
    </xf>
    <xf numFmtId="0" fontId="86" fillId="69" borderId="50" xfId="0" applyFont="1" applyFill="1" applyBorder="1" applyAlignment="1">
      <alignment horizontal="center" vertical="center" wrapText="1"/>
    </xf>
    <xf numFmtId="0" fontId="87" fillId="0" borderId="51" xfId="0" applyFont="1" applyBorder="1"/>
    <xf numFmtId="0" fontId="87" fillId="0" borderId="52" xfId="0" applyFont="1" applyBorder="1"/>
    <xf numFmtId="0" fontId="87" fillId="0" borderId="53" xfId="0" applyFont="1" applyBorder="1"/>
    <xf numFmtId="0" fontId="88" fillId="0" borderId="0" xfId="0" applyFont="1"/>
    <xf numFmtId="0" fontId="87" fillId="0" borderId="54" xfId="0" applyFont="1" applyBorder="1"/>
    <xf numFmtId="0" fontId="87" fillId="0" borderId="55" xfId="0" applyFont="1" applyBorder="1"/>
    <xf numFmtId="0" fontId="87" fillId="0" borderId="56" xfId="0" applyFont="1" applyBorder="1"/>
    <xf numFmtId="0" fontId="87" fillId="0" borderId="57" xfId="0" applyFont="1" applyBorder="1"/>
    <xf numFmtId="0" fontId="80" fillId="70" borderId="27" xfId="0" applyFont="1" applyFill="1" applyBorder="1" applyAlignment="1" applyProtection="1">
      <alignment horizontal="center" vertical="center"/>
      <protection locked="0"/>
    </xf>
    <xf numFmtId="0" fontId="80" fillId="70" borderId="28" xfId="0" applyFont="1" applyFill="1" applyBorder="1" applyAlignment="1" applyProtection="1">
      <alignment horizontal="center" vertical="center"/>
      <protection locked="0"/>
    </xf>
    <xf numFmtId="0" fontId="80" fillId="70" borderId="18" xfId="0" applyFont="1" applyFill="1" applyBorder="1" applyAlignment="1" applyProtection="1">
      <alignment horizontal="center" vertical="center"/>
      <protection locked="0"/>
    </xf>
    <xf numFmtId="0" fontId="83" fillId="0" borderId="14" xfId="0" applyFont="1" applyBorder="1" applyAlignment="1">
      <alignment horizontal="center"/>
    </xf>
    <xf numFmtId="0" fontId="68" fillId="69" borderId="59" xfId="0" applyFont="1" applyFill="1" applyBorder="1" applyAlignment="1">
      <alignment horizontal="left" vertical="center"/>
    </xf>
    <xf numFmtId="0" fontId="68" fillId="69" borderId="60" xfId="0" applyFont="1" applyFill="1" applyBorder="1" applyAlignment="1">
      <alignment horizontal="left" vertical="center"/>
    </xf>
    <xf numFmtId="0" fontId="68" fillId="69" borderId="61" xfId="0" applyFont="1" applyFill="1" applyBorder="1" applyAlignment="1">
      <alignment horizontal="left" vertical="center"/>
    </xf>
    <xf numFmtId="0" fontId="68" fillId="69" borderId="62" xfId="0" applyFont="1" applyFill="1" applyBorder="1" applyAlignment="1">
      <alignment horizontal="left" vertical="center"/>
    </xf>
    <xf numFmtId="0" fontId="68" fillId="69" borderId="58" xfId="0" applyFont="1" applyFill="1" applyBorder="1" applyAlignment="1">
      <alignment horizontal="left" vertical="center"/>
    </xf>
    <xf numFmtId="0" fontId="68" fillId="69" borderId="63" xfId="0" applyFont="1" applyFill="1" applyBorder="1" applyAlignment="1">
      <alignment horizontal="left" vertical="center"/>
    </xf>
    <xf numFmtId="0" fontId="68" fillId="69" borderId="64" xfId="0" applyFont="1" applyFill="1" applyBorder="1" applyAlignment="1">
      <alignment horizontal="left" vertical="center"/>
    </xf>
    <xf numFmtId="0" fontId="68" fillId="69" borderId="65" xfId="0" applyFont="1" applyFill="1" applyBorder="1" applyAlignment="1">
      <alignment horizontal="left" vertical="center"/>
    </xf>
    <xf numFmtId="0" fontId="68" fillId="69" borderId="66" xfId="0" applyFont="1" applyFill="1" applyBorder="1" applyAlignment="1">
      <alignment horizontal="left" vertical="center"/>
    </xf>
    <xf numFmtId="0" fontId="101" fillId="67" borderId="15" xfId="0" applyFont="1" applyFill="1" applyBorder="1" applyAlignment="1">
      <alignment horizontal="center" vertical="center" wrapText="1"/>
    </xf>
    <xf numFmtId="0" fontId="101" fillId="67" borderId="17" xfId="0" applyFont="1" applyFill="1" applyBorder="1" applyAlignment="1">
      <alignment horizontal="center" vertical="center" wrapText="1"/>
    </xf>
    <xf numFmtId="0" fontId="101" fillId="67" borderId="16" xfId="0" applyFont="1" applyFill="1" applyBorder="1" applyAlignment="1">
      <alignment horizontal="center" vertical="center" wrapText="1"/>
    </xf>
    <xf numFmtId="0" fontId="55" fillId="67" borderId="15" xfId="0" applyFont="1" applyFill="1" applyBorder="1" applyAlignment="1">
      <alignment horizontal="left" vertical="center" wrapText="1"/>
    </xf>
    <xf numFmtId="0" fontId="55" fillId="67" borderId="17" xfId="0" applyFont="1" applyFill="1" applyBorder="1" applyAlignment="1">
      <alignment horizontal="left" vertical="center"/>
    </xf>
    <xf numFmtId="0" fontId="55" fillId="67" borderId="16" xfId="0" applyFont="1" applyFill="1" applyBorder="1" applyAlignment="1">
      <alignment horizontal="left" vertical="center"/>
    </xf>
    <xf numFmtId="2" fontId="55" fillId="67" borderId="15" xfId="0" applyNumberFormat="1" applyFont="1" applyFill="1" applyBorder="1" applyAlignment="1">
      <alignment horizontal="left" vertical="center"/>
    </xf>
    <xf numFmtId="2" fontId="55" fillId="67" borderId="17" xfId="0" applyNumberFormat="1" applyFont="1" applyFill="1" applyBorder="1" applyAlignment="1">
      <alignment horizontal="left" vertical="center"/>
    </xf>
    <xf numFmtId="2" fontId="55" fillId="67" borderId="16" xfId="0" applyNumberFormat="1" applyFont="1" applyFill="1" applyBorder="1" applyAlignment="1">
      <alignment horizontal="left" vertical="center"/>
    </xf>
    <xf numFmtId="0" fontId="52" fillId="67" borderId="15" xfId="0" applyFont="1" applyFill="1" applyBorder="1" applyAlignment="1">
      <alignment horizontal="left"/>
    </xf>
    <xf numFmtId="0" fontId="52" fillId="67" borderId="17" xfId="0" applyFont="1" applyFill="1" applyBorder="1" applyAlignment="1">
      <alignment horizontal="left"/>
    </xf>
    <xf numFmtId="0" fontId="52" fillId="67" borderId="16" xfId="0" applyFont="1" applyFill="1" applyBorder="1" applyAlignment="1">
      <alignment horizontal="left"/>
    </xf>
    <xf numFmtId="0" fontId="55" fillId="67" borderId="15" xfId="0" applyFont="1" applyFill="1" applyBorder="1" applyAlignment="1">
      <alignment horizontal="left" vertical="center"/>
    </xf>
    <xf numFmtId="0" fontId="61" fillId="67" borderId="15" xfId="0" applyFont="1" applyFill="1" applyBorder="1" applyAlignment="1">
      <alignment horizontal="left" wrapText="1"/>
    </xf>
    <xf numFmtId="0" fontId="61" fillId="67" borderId="17" xfId="0" applyFont="1" applyFill="1" applyBorder="1" applyAlignment="1">
      <alignment horizontal="left"/>
    </xf>
    <xf numFmtId="0" fontId="61" fillId="67" borderId="16" xfId="0" applyFont="1" applyFill="1" applyBorder="1" applyAlignment="1">
      <alignment horizontal="left"/>
    </xf>
    <xf numFmtId="0" fontId="55" fillId="67" borderId="15" xfId="0" applyFont="1" applyFill="1" applyBorder="1" applyAlignment="1">
      <alignment horizontal="left" vertical="top" wrapText="1"/>
    </xf>
    <xf numFmtId="0" fontId="55" fillId="67" borderId="17" xfId="0" applyFont="1" applyFill="1" applyBorder="1" applyAlignment="1">
      <alignment horizontal="left" vertical="top"/>
    </xf>
    <xf numFmtId="0" fontId="55" fillId="67" borderId="16" xfId="0" applyFont="1" applyFill="1" applyBorder="1" applyAlignment="1">
      <alignment horizontal="left" vertical="top"/>
    </xf>
    <xf numFmtId="0" fontId="54" fillId="67" borderId="15" xfId="0" applyFont="1" applyFill="1" applyBorder="1" applyAlignment="1">
      <alignment horizontal="left" vertical="center" wrapText="1"/>
    </xf>
    <xf numFmtId="0" fontId="54" fillId="67" borderId="17" xfId="0" applyFont="1" applyFill="1" applyBorder="1" applyAlignment="1">
      <alignment horizontal="left" vertical="center"/>
    </xf>
    <xf numFmtId="0" fontId="54" fillId="67" borderId="16" xfId="0" applyFont="1" applyFill="1" applyBorder="1" applyAlignment="1">
      <alignment horizontal="left" vertical="center"/>
    </xf>
    <xf numFmtId="0" fontId="58" fillId="67" borderId="15" xfId="0" applyFont="1" applyFill="1" applyBorder="1" applyAlignment="1">
      <alignment horizontal="left" wrapText="1"/>
    </xf>
    <xf numFmtId="0" fontId="58" fillId="67" borderId="17" xfId="0" applyFont="1" applyFill="1" applyBorder="1" applyAlignment="1">
      <alignment horizontal="left"/>
    </xf>
    <xf numFmtId="0" fontId="58" fillId="67" borderId="16" xfId="0" applyFont="1" applyFill="1" applyBorder="1" applyAlignment="1">
      <alignment horizontal="left"/>
    </xf>
    <xf numFmtId="0" fontId="58" fillId="67" borderId="15" xfId="0" applyFont="1" applyFill="1" applyBorder="1" applyAlignment="1">
      <alignment horizontal="left" vertical="center" wrapText="1"/>
    </xf>
    <xf numFmtId="0" fontId="58" fillId="67" borderId="17" xfId="0" applyFont="1" applyFill="1" applyBorder="1" applyAlignment="1">
      <alignment horizontal="left" vertical="center"/>
    </xf>
    <xf numFmtId="0" fontId="58" fillId="67" borderId="16" xfId="0" applyFont="1" applyFill="1" applyBorder="1" applyAlignment="1">
      <alignment horizontal="left" vertical="center"/>
    </xf>
    <xf numFmtId="0" fontId="52" fillId="67" borderId="14" xfId="0" applyFont="1" applyFill="1" applyBorder="1" applyAlignment="1">
      <alignment horizontal="left"/>
    </xf>
    <xf numFmtId="0" fontId="55" fillId="67" borderId="17" xfId="0" applyFont="1" applyFill="1" applyBorder="1" applyAlignment="1">
      <alignment horizontal="left" vertical="center" wrapText="1"/>
    </xf>
    <xf numFmtId="0" fontId="55" fillId="67" borderId="16" xfId="0" applyFont="1" applyFill="1" applyBorder="1" applyAlignment="1">
      <alignment horizontal="left" vertical="center" wrapText="1"/>
    </xf>
    <xf numFmtId="0" fontId="0" fillId="67" borderId="15" xfId="0" applyFill="1" applyBorder="1" applyAlignment="1">
      <alignment horizontal="left" vertical="center" wrapText="1"/>
    </xf>
    <xf numFmtId="0" fontId="0" fillId="67" borderId="17" xfId="0" applyFill="1" applyBorder="1" applyAlignment="1">
      <alignment horizontal="left" vertical="center" wrapText="1"/>
    </xf>
    <xf numFmtId="0" fontId="0" fillId="67" borderId="16" xfId="0" applyFill="1" applyBorder="1" applyAlignment="1">
      <alignment horizontal="left" vertical="center" wrapText="1"/>
    </xf>
    <xf numFmtId="0" fontId="55" fillId="67" borderId="17" xfId="0" applyFont="1" applyFill="1" applyBorder="1" applyAlignment="1">
      <alignment horizontal="left" vertical="top" wrapText="1"/>
    </xf>
    <xf numFmtId="0" fontId="55" fillId="67" borderId="16" xfId="0" applyFont="1" applyFill="1" applyBorder="1" applyAlignment="1">
      <alignment horizontal="left" vertical="top" wrapText="1"/>
    </xf>
    <xf numFmtId="0" fontId="66" fillId="67" borderId="15" xfId="0" applyFont="1" applyFill="1" applyBorder="1" applyAlignment="1">
      <alignment horizontal="left" vertical="top" wrapText="1"/>
    </xf>
    <xf numFmtId="0" fontId="66" fillId="67" borderId="17" xfId="0" applyFont="1" applyFill="1" applyBorder="1" applyAlignment="1">
      <alignment horizontal="left" vertical="top" wrapText="1"/>
    </xf>
    <xf numFmtId="0" fontId="66" fillId="67" borderId="16" xfId="0" applyFont="1" applyFill="1" applyBorder="1" applyAlignment="1">
      <alignment horizontal="left" vertical="top" wrapText="1"/>
    </xf>
    <xf numFmtId="0" fontId="0" fillId="67" borderId="15" xfId="0" applyFill="1" applyBorder="1" applyAlignment="1">
      <alignment horizontal="left" wrapText="1"/>
    </xf>
    <xf numFmtId="0" fontId="0" fillId="67" borderId="17" xfId="0" applyFill="1" applyBorder="1" applyAlignment="1">
      <alignment horizontal="left" wrapText="1"/>
    </xf>
    <xf numFmtId="0" fontId="0" fillId="67" borderId="16" xfId="0" applyFill="1" applyBorder="1" applyAlignment="1">
      <alignment horizontal="left" wrapText="1"/>
    </xf>
    <xf numFmtId="0" fontId="65" fillId="67" borderId="15" xfId="0" applyFont="1" applyFill="1" applyBorder="1" applyAlignment="1">
      <alignment horizontal="left" vertical="center" wrapText="1"/>
    </xf>
    <xf numFmtId="0" fontId="65" fillId="67" borderId="17" xfId="0" applyFont="1" applyFill="1" applyBorder="1" applyAlignment="1">
      <alignment horizontal="left" vertical="center"/>
    </xf>
    <xf numFmtId="0" fontId="65" fillId="67" borderId="16" xfId="0" applyFont="1" applyFill="1" applyBorder="1" applyAlignment="1">
      <alignment horizontal="left" vertical="center"/>
    </xf>
    <xf numFmtId="0" fontId="52" fillId="67" borderId="0" xfId="0" applyFont="1" applyFill="1" applyBorder="1" applyAlignment="1">
      <alignment horizontal="left"/>
    </xf>
    <xf numFmtId="2" fontId="0" fillId="67" borderId="15" xfId="0" applyNumberFormat="1" applyFill="1" applyBorder="1" applyAlignment="1">
      <alignment horizontal="left" vertical="center" wrapText="1"/>
    </xf>
    <xf numFmtId="2" fontId="0" fillId="67" borderId="17" xfId="0" applyNumberFormat="1" applyFill="1" applyBorder="1" applyAlignment="1">
      <alignment horizontal="left" vertical="center" wrapText="1"/>
    </xf>
    <xf numFmtId="2" fontId="0" fillId="67" borderId="16" xfId="0" applyNumberFormat="1" applyFill="1" applyBorder="1" applyAlignment="1">
      <alignment horizontal="left" vertical="center" wrapText="1"/>
    </xf>
    <xf numFmtId="0" fontId="0" fillId="67" borderId="17" xfId="0" applyFill="1" applyBorder="1" applyAlignment="1">
      <alignment horizontal="left" vertical="center"/>
    </xf>
    <xf numFmtId="0" fontId="0" fillId="67" borderId="16" xfId="0" applyFill="1" applyBorder="1" applyAlignment="1">
      <alignment horizontal="left" vertical="center"/>
    </xf>
    <xf numFmtId="0" fontId="0" fillId="67" borderId="15" xfId="0" applyFill="1" applyBorder="1" applyAlignment="1">
      <alignment horizontal="left" vertical="top" wrapText="1"/>
    </xf>
    <xf numFmtId="0" fontId="0" fillId="67" borderId="17" xfId="0" applyFill="1" applyBorder="1" applyAlignment="1">
      <alignment horizontal="left" vertical="top"/>
    </xf>
    <xf numFmtId="0" fontId="0" fillId="67" borderId="16" xfId="0" applyFill="1" applyBorder="1" applyAlignment="1">
      <alignment horizontal="left" vertical="top"/>
    </xf>
    <xf numFmtId="0" fontId="52" fillId="67" borderId="14" xfId="0" applyFont="1" applyFill="1" applyBorder="1" applyAlignment="1">
      <alignment horizontal="left" vertical="center"/>
    </xf>
    <xf numFmtId="0" fontId="63" fillId="67" borderId="15" xfId="0" applyFont="1" applyFill="1" applyBorder="1" applyAlignment="1">
      <alignment horizontal="left" vertical="center" wrapText="1"/>
    </xf>
    <xf numFmtId="0" fontId="63" fillId="67" borderId="17" xfId="0" applyFont="1" applyFill="1" applyBorder="1" applyAlignment="1">
      <alignment horizontal="left" vertical="center"/>
    </xf>
    <xf numFmtId="0" fontId="63" fillId="67" borderId="16" xfId="0" applyFont="1" applyFill="1" applyBorder="1" applyAlignment="1">
      <alignment horizontal="left" vertical="center"/>
    </xf>
    <xf numFmtId="0" fontId="44" fillId="67" borderId="15" xfId="0" applyFont="1" applyFill="1" applyBorder="1" applyAlignment="1">
      <alignment horizontal="left" vertical="center" wrapText="1"/>
    </xf>
    <xf numFmtId="0" fontId="44" fillId="67" borderId="17" xfId="0" applyFont="1" applyFill="1" applyBorder="1" applyAlignment="1">
      <alignment horizontal="left" vertical="center"/>
    </xf>
    <xf numFmtId="0" fontId="44" fillId="67" borderId="16" xfId="0" applyFont="1" applyFill="1" applyBorder="1" applyAlignment="1">
      <alignment horizontal="left" vertical="center"/>
    </xf>
    <xf numFmtId="0" fontId="44" fillId="67" borderId="17" xfId="0" applyFont="1" applyFill="1" applyBorder="1" applyAlignment="1">
      <alignment horizontal="left" vertical="center" wrapText="1"/>
    </xf>
    <xf numFmtId="0" fontId="44" fillId="67" borderId="16" xfId="0" applyFont="1" applyFill="1" applyBorder="1" applyAlignment="1">
      <alignment horizontal="left" vertical="center" wrapText="1"/>
    </xf>
    <xf numFmtId="2" fontId="55" fillId="67" borderId="15" xfId="0" applyNumberFormat="1" applyFont="1" applyFill="1" applyBorder="1" applyAlignment="1">
      <alignment horizontal="left" vertical="center" wrapText="1"/>
    </xf>
    <xf numFmtId="0" fontId="55" fillId="67" borderId="15" xfId="0" applyFont="1" applyFill="1" applyBorder="1" applyAlignment="1">
      <alignment vertical="top" wrapText="1"/>
    </xf>
    <xf numFmtId="0" fontId="55" fillId="67" borderId="17" xfId="0" applyFont="1" applyFill="1" applyBorder="1" applyAlignment="1">
      <alignment vertical="top" wrapText="1"/>
    </xf>
    <xf numFmtId="0" fontId="55" fillId="67" borderId="16" xfId="0" applyFont="1" applyFill="1" applyBorder="1" applyAlignment="1">
      <alignment vertical="top" wrapText="1"/>
    </xf>
    <xf numFmtId="0" fontId="55" fillId="67" borderId="15" xfId="0" applyFont="1" applyFill="1" applyBorder="1" applyAlignment="1">
      <alignment horizontal="left" wrapText="1"/>
    </xf>
    <xf numFmtId="0" fontId="55" fillId="67" borderId="17" xfId="0" applyFont="1" applyFill="1" applyBorder="1" applyAlignment="1">
      <alignment horizontal="left" wrapText="1"/>
    </xf>
    <xf numFmtId="0" fontId="55" fillId="67" borderId="16" xfId="0" applyFont="1" applyFill="1" applyBorder="1" applyAlignment="1">
      <alignment horizontal="left" wrapText="1"/>
    </xf>
    <xf numFmtId="0" fontId="0" fillId="0" borderId="20" xfId="0" applyBorder="1" applyAlignment="1">
      <alignment horizontal="center" vertical="top" wrapText="1"/>
    </xf>
    <xf numFmtId="0" fontId="0" fillId="0" borderId="0" xfId="0" applyBorder="1" applyAlignment="1">
      <alignment horizontal="center" vertical="top" wrapText="1"/>
    </xf>
    <xf numFmtId="0" fontId="0" fillId="0" borderId="22" xfId="0" applyBorder="1" applyAlignment="1">
      <alignment horizontal="center" vertical="top" wrapText="1"/>
    </xf>
    <xf numFmtId="2" fontId="0" fillId="67" borderId="15" xfId="0" applyNumberFormat="1" applyFill="1" applyBorder="1" applyAlignment="1">
      <alignment horizontal="left" vertical="center"/>
    </xf>
    <xf numFmtId="2" fontId="0" fillId="67" borderId="17" xfId="0" applyNumberFormat="1" applyFill="1" applyBorder="1" applyAlignment="1">
      <alignment horizontal="left" vertical="center"/>
    </xf>
    <xf numFmtId="2" fontId="0" fillId="67" borderId="16" xfId="0" applyNumberFormat="1" applyFill="1" applyBorder="1" applyAlignment="1">
      <alignment horizontal="left" vertical="center"/>
    </xf>
    <xf numFmtId="0" fontId="58" fillId="67" borderId="15" xfId="0" applyFont="1" applyFill="1" applyBorder="1" applyAlignment="1" applyProtection="1">
      <alignment horizontal="left" wrapText="1"/>
      <protection locked="0"/>
    </xf>
    <xf numFmtId="0" fontId="58" fillId="67" borderId="17" xfId="0" applyFont="1" applyFill="1" applyBorder="1" applyAlignment="1" applyProtection="1">
      <alignment horizontal="left"/>
      <protection locked="0"/>
    </xf>
    <xf numFmtId="0" fontId="58" fillId="67" borderId="16" xfId="0" applyFont="1" applyFill="1" applyBorder="1" applyAlignment="1" applyProtection="1">
      <alignment horizontal="left"/>
      <protection locked="0"/>
    </xf>
    <xf numFmtId="0" fontId="65" fillId="67" borderId="17" xfId="0" applyFont="1" applyFill="1" applyBorder="1" applyAlignment="1">
      <alignment horizontal="left" vertical="center" wrapText="1"/>
    </xf>
    <xf numFmtId="0" fontId="65" fillId="67" borderId="16" xfId="0" applyFont="1" applyFill="1" applyBorder="1" applyAlignment="1">
      <alignment horizontal="left" vertical="center" wrapText="1"/>
    </xf>
    <xf numFmtId="0" fontId="44" fillId="67" borderId="15" xfId="0" applyFont="1" applyFill="1" applyBorder="1" applyAlignment="1">
      <alignment horizontal="left" vertical="top" wrapText="1"/>
    </xf>
    <xf numFmtId="0" fontId="44" fillId="67" borderId="17" xfId="0" applyFont="1" applyFill="1" applyBorder="1" applyAlignment="1">
      <alignment horizontal="left" vertical="top"/>
    </xf>
    <xf numFmtId="0" fontId="44" fillId="67" borderId="16" xfId="0" applyFont="1" applyFill="1" applyBorder="1" applyAlignment="1">
      <alignment horizontal="left" vertical="top"/>
    </xf>
    <xf numFmtId="0" fontId="52" fillId="64" borderId="15" xfId="0" applyFont="1" applyFill="1" applyBorder="1" applyAlignment="1">
      <alignment horizontal="center" vertical="center"/>
    </xf>
    <xf numFmtId="0" fontId="52" fillId="64" borderId="17" xfId="0" applyFont="1" applyFill="1" applyBorder="1" applyAlignment="1">
      <alignment horizontal="center" vertical="center"/>
    </xf>
    <xf numFmtId="0" fontId="52" fillId="64" borderId="16" xfId="0" applyFont="1" applyFill="1" applyBorder="1" applyAlignment="1">
      <alignment horizontal="center" vertical="center"/>
    </xf>
    <xf numFmtId="0" fontId="69" fillId="0" borderId="23" xfId="0" applyFont="1" applyBorder="1" applyAlignment="1">
      <alignment horizontal="center"/>
    </xf>
    <xf numFmtId="0" fontId="69" fillId="0" borderId="26" xfId="0" applyFont="1" applyBorder="1" applyAlignment="1">
      <alignment horizontal="center"/>
    </xf>
    <xf numFmtId="0" fontId="69" fillId="0" borderId="24" xfId="0" applyFont="1" applyBorder="1" applyAlignment="1">
      <alignment horizontal="center"/>
    </xf>
    <xf numFmtId="0" fontId="55" fillId="67" borderId="17" xfId="0" applyFont="1" applyFill="1" applyBorder="1" applyAlignment="1">
      <alignment horizontal="left"/>
    </xf>
    <xf numFmtId="0" fontId="55" fillId="67" borderId="16" xfId="0" applyFont="1" applyFill="1" applyBorder="1" applyAlignment="1">
      <alignment horizontal="left"/>
    </xf>
    <xf numFmtId="0" fontId="0" fillId="0" borderId="122" xfId="0" applyBorder="1" applyAlignment="1">
      <alignment horizontal="center" vertical="center"/>
    </xf>
    <xf numFmtId="0" fontId="0" fillId="0" borderId="141" xfId="0" applyBorder="1" applyAlignment="1">
      <alignment horizontal="center" vertical="center"/>
    </xf>
    <xf numFmtId="4" fontId="0" fillId="79" borderId="73" xfId="0" applyNumberFormat="1" applyFill="1" applyBorder="1" applyAlignment="1">
      <alignment horizontal="left" vertical="center" wrapText="1"/>
    </xf>
    <xf numFmtId="4" fontId="0" fillId="79" borderId="74" xfId="0" applyNumberFormat="1" applyFill="1" applyBorder="1" applyAlignment="1">
      <alignment horizontal="left" vertical="center" wrapText="1"/>
    </xf>
    <xf numFmtId="4" fontId="0" fillId="79" borderId="72" xfId="0" applyNumberFormat="1" applyFill="1" applyBorder="1" applyAlignment="1">
      <alignment horizontal="left" vertical="center" wrapText="1"/>
    </xf>
    <xf numFmtId="0" fontId="102" fillId="76" borderId="119" xfId="0" applyFont="1" applyFill="1" applyBorder="1" applyAlignment="1">
      <alignment horizontal="center" vertical="center"/>
    </xf>
    <xf numFmtId="0" fontId="102" fillId="76" borderId="143" xfId="0" applyFont="1" applyFill="1" applyBorder="1" applyAlignment="1">
      <alignment horizontal="center" vertical="center"/>
    </xf>
    <xf numFmtId="2" fontId="83" fillId="67" borderId="124" xfId="0" applyNumberFormat="1" applyFont="1" applyFill="1" applyBorder="1" applyAlignment="1">
      <alignment horizontal="center" vertical="center"/>
    </xf>
    <xf numFmtId="2" fontId="83" fillId="67" borderId="144" xfId="0" applyNumberFormat="1" applyFont="1" applyFill="1" applyBorder="1" applyAlignment="1">
      <alignment horizontal="center" vertical="center"/>
    </xf>
    <xf numFmtId="0" fontId="0" fillId="0" borderId="125" xfId="0" applyBorder="1" applyAlignment="1">
      <alignment horizontal="center" vertical="center"/>
    </xf>
    <xf numFmtId="0" fontId="0" fillId="0" borderId="126" xfId="0" applyBorder="1" applyAlignment="1">
      <alignment horizontal="center" vertical="center"/>
    </xf>
    <xf numFmtId="0" fontId="102" fillId="76" borderId="123" xfId="0" applyFont="1" applyFill="1" applyBorder="1" applyAlignment="1">
      <alignment horizontal="center" vertical="center"/>
    </xf>
    <xf numFmtId="0" fontId="102" fillId="76" borderId="7" xfId="0" applyFont="1" applyFill="1" applyBorder="1" applyAlignment="1">
      <alignment horizontal="center" vertical="center"/>
    </xf>
    <xf numFmtId="0" fontId="102" fillId="76" borderId="127" xfId="0" applyFont="1" applyFill="1" applyBorder="1" applyAlignment="1">
      <alignment horizontal="center" vertical="center"/>
    </xf>
    <xf numFmtId="2" fontId="83" fillId="67" borderId="121" xfId="0" applyNumberFormat="1" applyFont="1" applyFill="1" applyBorder="1" applyAlignment="1">
      <alignment horizontal="center" vertical="center"/>
    </xf>
    <xf numFmtId="2" fontId="83" fillId="67" borderId="128" xfId="0" applyNumberFormat="1" applyFont="1" applyFill="1" applyBorder="1" applyAlignment="1">
      <alignment horizontal="center" vertical="center"/>
    </xf>
    <xf numFmtId="0" fontId="102" fillId="76" borderId="129" xfId="0" applyFont="1" applyFill="1" applyBorder="1" applyAlignment="1">
      <alignment horizontal="center" vertical="center"/>
    </xf>
    <xf numFmtId="0" fontId="102" fillId="76" borderId="21" xfId="0" applyFont="1" applyFill="1" applyBorder="1" applyAlignment="1">
      <alignment horizontal="center" vertical="center"/>
    </xf>
    <xf numFmtId="2" fontId="83" fillId="0" borderId="130" xfId="0" applyNumberFormat="1" applyFont="1" applyBorder="1" applyAlignment="1">
      <alignment horizontal="center" vertical="center"/>
    </xf>
    <xf numFmtId="2" fontId="83" fillId="0" borderId="133" xfId="0" applyNumberFormat="1" applyFont="1" applyBorder="1" applyAlignment="1">
      <alignment horizontal="center" vertical="center"/>
    </xf>
    <xf numFmtId="4" fontId="102" fillId="76" borderId="123" xfId="0" applyNumberFormat="1" applyFont="1" applyFill="1" applyBorder="1" applyAlignment="1">
      <alignment horizontal="center" vertical="center"/>
    </xf>
    <xf numFmtId="2" fontId="83" fillId="0" borderId="124" xfId="0" applyNumberFormat="1" applyFont="1" applyBorder="1" applyAlignment="1">
      <alignment horizontal="center" vertical="center"/>
    </xf>
    <xf numFmtId="2" fontId="83" fillId="0" borderId="121" xfId="0" applyNumberFormat="1" applyFont="1" applyBorder="1" applyAlignment="1">
      <alignment horizontal="center" vertical="center"/>
    </xf>
    <xf numFmtId="0" fontId="102" fillId="76" borderId="123" xfId="0" applyFont="1" applyFill="1" applyBorder="1" applyAlignment="1">
      <alignment horizontal="center" vertical="center" wrapText="1"/>
    </xf>
    <xf numFmtId="0" fontId="102" fillId="76" borderId="7" xfId="0" applyFont="1" applyFill="1" applyBorder="1" applyAlignment="1">
      <alignment horizontal="center" vertical="center" wrapText="1"/>
    </xf>
    <xf numFmtId="0" fontId="102" fillId="76" borderId="127" xfId="0" applyFont="1" applyFill="1" applyBorder="1" applyAlignment="1">
      <alignment horizontal="center" vertical="center" wrapText="1"/>
    </xf>
    <xf numFmtId="4" fontId="0" fillId="0" borderId="122" xfId="0" applyNumberFormat="1" applyBorder="1" applyAlignment="1">
      <alignment horizontal="center" vertical="center"/>
    </xf>
    <xf numFmtId="181" fontId="0" fillId="67" borderId="20" xfId="0" applyNumberFormat="1" applyFill="1" applyBorder="1" applyAlignment="1">
      <alignment horizontal="center" vertical="center"/>
    </xf>
    <xf numFmtId="181" fontId="0" fillId="67" borderId="22" xfId="0" applyNumberFormat="1" applyFill="1" applyBorder="1" applyAlignment="1">
      <alignment horizontal="center" vertical="center"/>
    </xf>
    <xf numFmtId="181" fontId="0" fillId="67" borderId="134" xfId="0" applyNumberFormat="1" applyFill="1" applyBorder="1" applyAlignment="1">
      <alignment horizontal="center" vertical="center"/>
    </xf>
    <xf numFmtId="0" fontId="102" fillId="76" borderId="131" xfId="0" applyFont="1" applyFill="1" applyBorder="1" applyAlignment="1">
      <alignment horizontal="center" vertical="center"/>
    </xf>
    <xf numFmtId="2" fontId="83" fillId="67" borderId="130" xfId="0" applyNumberFormat="1" applyFont="1" applyFill="1" applyBorder="1" applyAlignment="1">
      <alignment horizontal="center" vertical="center"/>
    </xf>
    <xf numFmtId="2" fontId="83" fillId="67" borderId="133" xfId="0" applyNumberFormat="1" applyFont="1" applyFill="1" applyBorder="1" applyAlignment="1">
      <alignment horizontal="center" vertical="center"/>
    </xf>
    <xf numFmtId="2" fontId="83" fillId="67" borderId="132" xfId="0" applyNumberFormat="1" applyFont="1" applyFill="1" applyBorder="1" applyAlignment="1">
      <alignment horizontal="center" vertical="center"/>
    </xf>
    <xf numFmtId="0" fontId="69" fillId="67" borderId="0" xfId="0" applyFont="1" applyFill="1" applyBorder="1" applyAlignment="1">
      <alignment horizontal="center" wrapText="1"/>
    </xf>
    <xf numFmtId="4" fontId="83" fillId="0" borderId="16" xfId="0" applyNumberFormat="1" applyFont="1" applyBorder="1" applyAlignment="1">
      <alignment horizontal="center" vertical="top" wrapText="1"/>
    </xf>
    <xf numFmtId="4" fontId="83" fillId="0" borderId="14" xfId="0" applyNumberFormat="1" applyFont="1" applyBorder="1" applyAlignment="1">
      <alignment horizontal="center" vertical="top" wrapText="1"/>
    </xf>
    <xf numFmtId="0" fontId="103" fillId="77" borderId="135" xfId="0" applyFont="1" applyFill="1" applyBorder="1" applyAlignment="1">
      <alignment horizontal="center" vertical="center" wrapText="1"/>
    </xf>
    <xf numFmtId="0" fontId="103" fillId="77" borderId="136" xfId="0" applyFont="1" applyFill="1" applyBorder="1" applyAlignment="1">
      <alignment horizontal="center" vertical="center" wrapText="1"/>
    </xf>
    <xf numFmtId="0" fontId="103" fillId="77" borderId="137" xfId="0" applyFont="1" applyFill="1" applyBorder="1" applyAlignment="1">
      <alignment horizontal="center" vertical="center" wrapText="1"/>
    </xf>
    <xf numFmtId="0" fontId="103" fillId="77" borderId="138" xfId="0" applyFont="1" applyFill="1" applyBorder="1" applyAlignment="1">
      <alignment horizontal="center" vertical="center" wrapText="1"/>
    </xf>
    <xf numFmtId="0" fontId="103" fillId="77" borderId="0" xfId="0" applyFont="1" applyFill="1" applyBorder="1" applyAlignment="1">
      <alignment horizontal="center" vertical="center" wrapText="1"/>
    </xf>
    <xf numFmtId="0" fontId="103" fillId="77" borderId="133" xfId="0" applyFont="1" applyFill="1" applyBorder="1" applyAlignment="1">
      <alignment horizontal="center" vertical="center" wrapText="1"/>
    </xf>
    <xf numFmtId="0" fontId="103" fillId="77" borderId="139" xfId="0" applyFont="1" applyFill="1" applyBorder="1" applyAlignment="1">
      <alignment horizontal="center" vertical="center" wrapText="1"/>
    </xf>
    <xf numFmtId="0" fontId="103" fillId="77" borderId="112" xfId="0" applyFont="1" applyFill="1" applyBorder="1" applyAlignment="1">
      <alignment horizontal="center" vertical="center" wrapText="1"/>
    </xf>
    <xf numFmtId="0" fontId="103" fillId="77" borderId="140" xfId="0" applyFont="1" applyFill="1" applyBorder="1" applyAlignment="1">
      <alignment horizontal="center" vertical="center" wrapText="1"/>
    </xf>
    <xf numFmtId="2" fontId="0" fillId="0" borderId="49" xfId="0" applyNumberFormat="1" applyBorder="1" applyAlignment="1">
      <alignment horizontal="center" vertical="center"/>
    </xf>
    <xf numFmtId="2" fontId="0" fillId="0" borderId="7" xfId="0" applyNumberFormat="1" applyBorder="1" applyAlignment="1">
      <alignment horizontal="center" vertical="center"/>
    </xf>
    <xf numFmtId="2" fontId="0" fillId="0" borderId="48" xfId="0" applyNumberFormat="1" applyBorder="1" applyAlignment="1">
      <alignment horizontal="center" vertical="center"/>
    </xf>
    <xf numFmtId="0" fontId="0" fillId="67" borderId="14" xfId="0" applyFill="1" applyBorder="1" applyAlignment="1">
      <alignment horizontal="center" vertical="center"/>
    </xf>
    <xf numFmtId="0" fontId="0" fillId="0" borderId="0" xfId="0" applyAlignment="1">
      <alignment wrapText="1"/>
    </xf>
    <xf numFmtId="0" fontId="52" fillId="0" borderId="0" xfId="0" applyFont="1" applyAlignment="1">
      <alignment wrapText="1"/>
    </xf>
    <xf numFmtId="0" fontId="0" fillId="0" borderId="39" xfId="0" applyBorder="1" applyAlignment="1">
      <alignment wrapText="1"/>
    </xf>
    <xf numFmtId="0" fontId="0" fillId="0" borderId="40" xfId="0" applyBorder="1" applyAlignment="1">
      <alignment wrapText="1"/>
    </xf>
    <xf numFmtId="0" fontId="0" fillId="0" borderId="41" xfId="0" applyBorder="1" applyAlignment="1">
      <alignment wrapText="1"/>
    </xf>
    <xf numFmtId="0" fontId="0" fillId="0" borderId="42" xfId="0" applyBorder="1" applyAlignment="1">
      <alignment horizontal="right" vertical="top" wrapText="1"/>
    </xf>
    <xf numFmtId="0" fontId="0" fillId="0" borderId="43" xfId="0" applyBorder="1" applyAlignment="1">
      <alignment horizontal="right" vertical="top" wrapText="1"/>
    </xf>
    <xf numFmtId="0" fontId="52" fillId="0" borderId="39" xfId="0" applyFont="1" applyBorder="1" applyAlignment="1">
      <alignment wrapText="1"/>
    </xf>
    <xf numFmtId="0" fontId="52" fillId="0" borderId="40" xfId="0" applyFont="1" applyBorder="1" applyAlignment="1">
      <alignment wrapText="1"/>
    </xf>
    <xf numFmtId="0" fontId="52" fillId="0" borderId="41" xfId="0" applyFont="1" applyBorder="1" applyAlignment="1">
      <alignment wrapText="1"/>
    </xf>
    <xf numFmtId="0" fontId="0" fillId="0" borderId="44" xfId="0" applyBorder="1" applyAlignment="1">
      <alignment wrapText="1"/>
    </xf>
    <xf numFmtId="0" fontId="52" fillId="0" borderId="39" xfId="0" applyFont="1" applyBorder="1" applyAlignment="1">
      <alignment horizontal="right" wrapText="1"/>
    </xf>
    <xf numFmtId="0" fontId="52" fillId="0" borderId="40" xfId="0" applyFont="1" applyBorder="1" applyAlignment="1">
      <alignment horizontal="right" wrapText="1"/>
    </xf>
    <xf numFmtId="0" fontId="52" fillId="0" borderId="41" xfId="0" applyFont="1" applyBorder="1" applyAlignment="1">
      <alignment horizontal="right" wrapText="1"/>
    </xf>
    <xf numFmtId="0" fontId="52" fillId="66" borderId="39" xfId="0" applyFont="1" applyFill="1" applyBorder="1" applyAlignment="1">
      <alignment wrapText="1"/>
    </xf>
    <xf numFmtId="0" fontId="52" fillId="66" borderId="40" xfId="0" applyFont="1" applyFill="1" applyBorder="1" applyAlignment="1">
      <alignment wrapText="1"/>
    </xf>
    <xf numFmtId="0" fontId="52" fillId="66" borderId="41" xfId="0" applyFont="1" applyFill="1" applyBorder="1" applyAlignment="1">
      <alignment wrapText="1"/>
    </xf>
    <xf numFmtId="0" fontId="0" fillId="0" borderId="45" xfId="0" applyBorder="1" applyAlignment="1">
      <alignment horizontal="right" vertical="top" wrapText="1"/>
    </xf>
    <xf numFmtId="0" fontId="52" fillId="0" borderId="47" xfId="0" applyFont="1" applyBorder="1" applyAlignment="1">
      <alignment horizontal="right" wrapText="1"/>
    </xf>
    <xf numFmtId="0" fontId="52" fillId="0" borderId="0" xfId="0" applyFont="1" applyAlignment="1">
      <alignment horizontal="center" vertical="center" wrapText="1"/>
    </xf>
    <xf numFmtId="0" fontId="52" fillId="0" borderId="0" xfId="0" applyFont="1" applyAlignment="1">
      <alignment vertical="center" wrapText="1"/>
    </xf>
    <xf numFmtId="0" fontId="52" fillId="0" borderId="0" xfId="0" applyFont="1" applyAlignment="1">
      <alignment vertical="top" wrapText="1"/>
    </xf>
    <xf numFmtId="44" fontId="95" fillId="73" borderId="97" xfId="0" applyNumberFormat="1" applyFont="1" applyFill="1" applyBorder="1" applyAlignment="1">
      <alignment horizontal="left" vertical="center" wrapText="1"/>
    </xf>
    <xf numFmtId="44" fontId="95" fillId="73" borderId="28" xfId="0" applyNumberFormat="1" applyFont="1" applyFill="1" applyBorder="1" applyAlignment="1">
      <alignment horizontal="left" vertical="center" wrapText="1"/>
    </xf>
    <xf numFmtId="44" fontId="95" fillId="73" borderId="98" xfId="0" applyNumberFormat="1" applyFont="1" applyFill="1" applyBorder="1" applyAlignment="1">
      <alignment horizontal="left" vertical="center" wrapText="1"/>
    </xf>
    <xf numFmtId="0" fontId="95" fillId="76" borderId="108" xfId="0" applyFont="1" applyFill="1" applyBorder="1" applyAlignment="1">
      <alignment horizontal="left" vertical="center" wrapText="1"/>
    </xf>
    <xf numFmtId="0" fontId="95" fillId="76" borderId="109" xfId="0" applyFont="1" applyFill="1" applyBorder="1" applyAlignment="1">
      <alignment horizontal="left" vertical="center" wrapText="1"/>
    </xf>
    <xf numFmtId="0" fontId="95" fillId="76" borderId="110" xfId="0" applyFont="1" applyFill="1" applyBorder="1" applyAlignment="1">
      <alignment horizontal="left" vertical="center" wrapText="1"/>
    </xf>
    <xf numFmtId="0" fontId="95" fillId="76" borderId="95" xfId="0" applyFont="1" applyFill="1" applyBorder="1" applyAlignment="1">
      <alignment horizontal="center" vertical="center" wrapText="1"/>
    </xf>
    <xf numFmtId="0" fontId="95" fillId="76" borderId="107" xfId="0" applyFont="1" applyFill="1" applyBorder="1" applyAlignment="1">
      <alignment horizontal="center" vertical="center" wrapText="1"/>
    </xf>
    <xf numFmtId="0" fontId="95" fillId="76" borderId="105" xfId="0" applyFont="1" applyFill="1" applyBorder="1" applyAlignment="1">
      <alignment horizontal="center" vertical="center" wrapText="1"/>
    </xf>
    <xf numFmtId="0" fontId="95" fillId="76" borderId="106" xfId="0" applyFont="1" applyFill="1" applyBorder="1" applyAlignment="1">
      <alignment horizontal="center" vertical="center" wrapText="1"/>
    </xf>
    <xf numFmtId="179" fontId="65" fillId="67" borderId="14" xfId="583" applyNumberFormat="1" applyFont="1" applyFill="1" applyBorder="1" applyAlignment="1">
      <alignment horizontal="center" vertical="center" wrapText="1"/>
    </xf>
    <xf numFmtId="164" fontId="55" fillId="67" borderId="14" xfId="2227" applyNumberFormat="1" applyFont="1" applyFill="1" applyBorder="1" applyAlignment="1">
      <alignment horizontal="center" vertical="center"/>
    </xf>
    <xf numFmtId="0" fontId="68" fillId="74" borderId="90" xfId="2227" applyFont="1" applyFill="1" applyBorder="1" applyAlignment="1">
      <alignment horizontal="right" vertical="center"/>
    </xf>
    <xf numFmtId="0" fontId="68" fillId="74" borderId="24" xfId="2227" applyFont="1" applyFill="1" applyBorder="1" applyAlignment="1">
      <alignment horizontal="right" vertical="center"/>
    </xf>
    <xf numFmtId="0" fontId="68" fillId="74" borderId="48" xfId="2227" applyFont="1" applyFill="1" applyBorder="1" applyAlignment="1">
      <alignment horizontal="right" vertical="center"/>
    </xf>
    <xf numFmtId="2" fontId="44" fillId="67" borderId="14" xfId="2227" applyNumberFormat="1" applyFont="1" applyFill="1" applyBorder="1" applyAlignment="1">
      <alignment horizontal="center" vertical="center"/>
    </xf>
    <xf numFmtId="0" fontId="95" fillId="76" borderId="82" xfId="0" applyFont="1" applyFill="1" applyBorder="1" applyAlignment="1">
      <alignment horizontal="center" vertical="center" wrapText="1"/>
    </xf>
    <xf numFmtId="0" fontId="95" fillId="76" borderId="85" xfId="0" applyFont="1" applyFill="1" applyBorder="1" applyAlignment="1">
      <alignment horizontal="center" vertical="center" wrapText="1"/>
    </xf>
    <xf numFmtId="0" fontId="96" fillId="76" borderId="100" xfId="0" applyFont="1" applyFill="1" applyBorder="1" applyAlignment="1">
      <alignment horizontal="center" vertical="center" wrapText="1"/>
    </xf>
    <xf numFmtId="0" fontId="96" fillId="76" borderId="104" xfId="0" applyFont="1" applyFill="1" applyBorder="1" applyAlignment="1">
      <alignment horizontal="center" vertical="center" wrapText="1"/>
    </xf>
    <xf numFmtId="0" fontId="95" fillId="76" borderId="83" xfId="0" applyFont="1" applyFill="1" applyBorder="1" applyAlignment="1">
      <alignment horizontal="center" vertical="center" wrapText="1"/>
    </xf>
    <xf numFmtId="0" fontId="95" fillId="76" borderId="86" xfId="0" applyFont="1" applyFill="1" applyBorder="1" applyAlignment="1">
      <alignment horizontal="center" vertical="center" wrapText="1"/>
    </xf>
    <xf numFmtId="0" fontId="96" fillId="76" borderId="83" xfId="0" applyFont="1" applyFill="1" applyBorder="1" applyAlignment="1">
      <alignment horizontal="center" vertical="center" wrapText="1"/>
    </xf>
    <xf numFmtId="0" fontId="96" fillId="76" borderId="86" xfId="0" applyFont="1" applyFill="1" applyBorder="1" applyAlignment="1">
      <alignment horizontal="center" vertical="center" wrapText="1"/>
    </xf>
    <xf numFmtId="0" fontId="95" fillId="76" borderId="101" xfId="0" applyFont="1" applyFill="1" applyBorder="1" applyAlignment="1">
      <alignment horizontal="center" vertical="center" wrapText="1"/>
    </xf>
    <xf numFmtId="0" fontId="95" fillId="76" borderId="102" xfId="0" applyFont="1" applyFill="1" applyBorder="1" applyAlignment="1">
      <alignment horizontal="center" vertical="center" wrapText="1"/>
    </xf>
    <xf numFmtId="0" fontId="95" fillId="76" borderId="103" xfId="0" applyFont="1" applyFill="1" applyBorder="1" applyAlignment="1">
      <alignment horizontal="center" vertical="center" wrapText="1"/>
    </xf>
    <xf numFmtId="0" fontId="95" fillId="76" borderId="93" xfId="0" applyFont="1" applyFill="1" applyBorder="1" applyAlignment="1">
      <alignment horizontal="center" vertical="center" wrapText="1"/>
    </xf>
    <xf numFmtId="0" fontId="95" fillId="76" borderId="0" xfId="0" applyFont="1" applyFill="1" applyAlignment="1">
      <alignment horizontal="center" vertical="center" wrapText="1"/>
    </xf>
    <xf numFmtId="0" fontId="95" fillId="76" borderId="94" xfId="0" applyFont="1" applyFill="1" applyBorder="1" applyAlignment="1">
      <alignment horizontal="center" vertical="center" wrapText="1"/>
    </xf>
    <xf numFmtId="178" fontId="44" fillId="67" borderId="14" xfId="2227" applyNumberFormat="1" applyFont="1" applyFill="1" applyBorder="1" applyAlignment="1">
      <alignment horizontal="center" vertical="center"/>
    </xf>
    <xf numFmtId="4" fontId="44" fillId="0" borderId="14" xfId="2227" applyNumberFormat="1" applyFont="1" applyBorder="1" applyAlignment="1">
      <alignment horizontal="center" vertical="center"/>
    </xf>
    <xf numFmtId="0" fontId="44" fillId="67" borderId="15" xfId="2227" applyFont="1" applyFill="1" applyBorder="1" applyAlignment="1">
      <alignment horizontal="center" vertical="center"/>
    </xf>
    <xf numFmtId="0" fontId="44" fillId="67" borderId="16" xfId="2227" applyFont="1" applyFill="1" applyBorder="1" applyAlignment="1">
      <alignment horizontal="center" vertical="center"/>
    </xf>
    <xf numFmtId="44" fontId="95" fillId="73" borderId="97" xfId="0" applyNumberFormat="1" applyFont="1" applyFill="1" applyBorder="1" applyAlignment="1">
      <alignment horizontal="right" vertical="center" wrapText="1"/>
    </xf>
    <xf numFmtId="44" fontId="95" fillId="73" borderId="28" xfId="0" applyNumberFormat="1" applyFont="1" applyFill="1" applyBorder="1" applyAlignment="1">
      <alignment horizontal="right" vertical="center" wrapText="1"/>
    </xf>
    <xf numFmtId="44" fontId="95" fillId="73" borderId="98" xfId="0" applyNumberFormat="1" applyFont="1" applyFill="1" applyBorder="1" applyAlignment="1">
      <alignment horizontal="right" vertical="center" wrapText="1"/>
    </xf>
    <xf numFmtId="0" fontId="44" fillId="0" borderId="14" xfId="2227" applyFont="1" applyBorder="1" applyAlignment="1">
      <alignment horizontal="center" vertical="center"/>
    </xf>
    <xf numFmtId="2" fontId="44" fillId="0" borderId="14" xfId="2227" applyNumberFormat="1" applyFont="1" applyBorder="1" applyAlignment="1">
      <alignment horizontal="center" vertical="center"/>
    </xf>
    <xf numFmtId="0" fontId="44" fillId="67" borderId="14" xfId="2227" applyFont="1" applyFill="1" applyBorder="1" applyAlignment="1">
      <alignment horizontal="center" vertical="center"/>
    </xf>
    <xf numFmtId="2" fontId="44" fillId="75" borderId="14" xfId="2227" applyNumberFormat="1" applyFont="1" applyFill="1" applyBorder="1" applyAlignment="1">
      <alignment horizontal="center" vertical="center"/>
    </xf>
    <xf numFmtId="44" fontId="44" fillId="75" borderId="14" xfId="2228" applyFont="1" applyFill="1" applyBorder="1" applyAlignment="1">
      <alignment horizontal="center" vertical="center"/>
    </xf>
    <xf numFmtId="0" fontId="44" fillId="67" borderId="17" xfId="2227" applyFont="1" applyFill="1" applyBorder="1" applyAlignment="1">
      <alignment horizontal="center" vertical="center"/>
    </xf>
    <xf numFmtId="2" fontId="13" fillId="75" borderId="14" xfId="583" applyNumberFormat="1" applyFill="1" applyBorder="1" applyAlignment="1">
      <alignment horizontal="center" vertical="center"/>
    </xf>
    <xf numFmtId="44" fontId="95" fillId="73" borderId="71" xfId="0" applyNumberFormat="1" applyFont="1" applyFill="1" applyBorder="1" applyAlignment="1">
      <alignment horizontal="center" vertical="center" wrapText="1"/>
    </xf>
    <xf numFmtId="44" fontId="95" fillId="73" borderId="72" xfId="0" applyNumberFormat="1" applyFont="1" applyFill="1" applyBorder="1" applyAlignment="1">
      <alignment horizontal="center" vertical="center" wrapText="1"/>
    </xf>
    <xf numFmtId="0" fontId="68" fillId="75" borderId="76" xfId="2227" applyFont="1" applyFill="1" applyBorder="1" applyAlignment="1">
      <alignment horizontal="left" vertical="center"/>
    </xf>
    <xf numFmtId="0" fontId="68" fillId="75" borderId="77" xfId="2227" applyFont="1" applyFill="1" applyBorder="1" applyAlignment="1">
      <alignment horizontal="left" vertical="center"/>
    </xf>
    <xf numFmtId="0" fontId="68" fillId="75" borderId="78" xfId="2227" applyFont="1" applyFill="1" applyBorder="1" applyAlignment="1">
      <alignment horizontal="left" vertical="center"/>
    </xf>
    <xf numFmtId="0" fontId="68" fillId="75" borderId="78" xfId="2227" applyFont="1" applyFill="1" applyBorder="1" applyAlignment="1">
      <alignment horizontal="center" vertical="center"/>
    </xf>
    <xf numFmtId="0" fontId="68" fillId="75" borderId="79" xfId="2227" applyFont="1" applyFill="1" applyBorder="1" applyAlignment="1">
      <alignment horizontal="right" vertical="center"/>
    </xf>
    <xf numFmtId="0" fontId="68" fillId="75" borderId="80" xfId="2227" applyFont="1" applyFill="1" applyBorder="1" applyAlignment="1">
      <alignment horizontal="right" vertical="center"/>
    </xf>
    <xf numFmtId="0" fontId="95" fillId="76" borderId="84" xfId="0" applyFont="1" applyFill="1" applyBorder="1" applyAlignment="1">
      <alignment horizontal="center" vertical="center" wrapText="1"/>
    </xf>
    <xf numFmtId="0" fontId="52" fillId="0" borderId="14" xfId="0" applyFont="1" applyBorder="1" applyAlignment="1">
      <alignment horizontal="center"/>
    </xf>
    <xf numFmtId="0" fontId="52" fillId="0" borderId="14" xfId="0" applyFont="1" applyBorder="1" applyAlignment="1">
      <alignment horizontal="center" vertical="center" wrapText="1"/>
    </xf>
    <xf numFmtId="0" fontId="0" fillId="0" borderId="14" xfId="0" applyBorder="1" applyAlignment="1">
      <alignment horizontal="center" vertical="center"/>
    </xf>
    <xf numFmtId="0" fontId="52" fillId="0" borderId="14" xfId="0" applyFont="1" applyBorder="1" applyAlignment="1">
      <alignment horizontal="center" vertical="center"/>
    </xf>
    <xf numFmtId="0" fontId="74" fillId="0" borderId="14" xfId="0" applyFont="1" applyBorder="1" applyAlignment="1">
      <alignment horizontal="center"/>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6" xfId="0" applyBorder="1" applyAlignment="1">
      <alignment horizontal="center" vertical="center" wrapText="1"/>
    </xf>
    <xf numFmtId="0" fontId="104" fillId="0" borderId="0" xfId="0" applyFont="1" applyBorder="1" applyAlignment="1">
      <alignment horizontal="center" vertical="center" wrapText="1"/>
    </xf>
    <xf numFmtId="0" fontId="105" fillId="0" borderId="14" xfId="0" applyFont="1" applyBorder="1" applyAlignment="1">
      <alignment horizontal="center"/>
    </xf>
    <xf numFmtId="0" fontId="53" fillId="0" borderId="14" xfId="0" applyFont="1" applyBorder="1" applyAlignment="1">
      <alignment horizontal="center"/>
    </xf>
  </cellXfs>
  <cellStyles count="2229">
    <cellStyle name="20% - Accent1" xfId="1" xr:uid="{00000000-0005-0000-0000-000000000000}"/>
    <cellStyle name="20% - Accent2" xfId="2" xr:uid="{00000000-0005-0000-0000-000001000000}"/>
    <cellStyle name="20% - Accent3" xfId="3" xr:uid="{00000000-0005-0000-0000-000002000000}"/>
    <cellStyle name="20% - Accent4" xfId="4" xr:uid="{00000000-0005-0000-0000-000003000000}"/>
    <cellStyle name="20% - Accent5" xfId="5" xr:uid="{00000000-0005-0000-0000-000004000000}"/>
    <cellStyle name="20% - Accent6" xfId="6" xr:uid="{00000000-0005-0000-0000-000005000000}"/>
    <cellStyle name="20% - Cor1 2" xfId="7" xr:uid="{00000000-0005-0000-0000-000006000000}"/>
    <cellStyle name="20% - Cor2 2" xfId="8" xr:uid="{00000000-0005-0000-0000-000007000000}"/>
    <cellStyle name="20% - Cor3 2" xfId="9" xr:uid="{00000000-0005-0000-0000-000008000000}"/>
    <cellStyle name="20% - Cor4 2" xfId="10" xr:uid="{00000000-0005-0000-0000-000009000000}"/>
    <cellStyle name="20% - Cor5 2" xfId="11" xr:uid="{00000000-0005-0000-0000-00000A000000}"/>
    <cellStyle name="20% - Cor6 2" xfId="12" xr:uid="{00000000-0005-0000-0000-00000B000000}"/>
    <cellStyle name="20% - Ênfase1" xfId="13" builtinId="30" customBuiltin="1"/>
    <cellStyle name="20% - Ênfase1 2" xfId="14" xr:uid="{00000000-0005-0000-0000-00000D000000}"/>
    <cellStyle name="20% - Ênfase1 2 2" xfId="15" xr:uid="{00000000-0005-0000-0000-00000E000000}"/>
    <cellStyle name="20% - Ênfase1 2 2 2" xfId="16" xr:uid="{00000000-0005-0000-0000-00000F000000}"/>
    <cellStyle name="20% - Ênfase1 2 2 2 2" xfId="17" xr:uid="{00000000-0005-0000-0000-000010000000}"/>
    <cellStyle name="20% - Ênfase1 2 2 3" xfId="18" xr:uid="{00000000-0005-0000-0000-000011000000}"/>
    <cellStyle name="20% - Ênfase1 2 3" xfId="19" xr:uid="{00000000-0005-0000-0000-000012000000}"/>
    <cellStyle name="20% - Ênfase1 2 3 2" xfId="20" xr:uid="{00000000-0005-0000-0000-000013000000}"/>
    <cellStyle name="20% - Ênfase1 2 4" xfId="21" xr:uid="{00000000-0005-0000-0000-000014000000}"/>
    <cellStyle name="20% - Ênfase2" xfId="22" builtinId="34" customBuiltin="1"/>
    <cellStyle name="20% - Ênfase2 2" xfId="23" xr:uid="{00000000-0005-0000-0000-000016000000}"/>
    <cellStyle name="20% - Ênfase2 2 2" xfId="24" xr:uid="{00000000-0005-0000-0000-000017000000}"/>
    <cellStyle name="20% - Ênfase2 2 2 2" xfId="25" xr:uid="{00000000-0005-0000-0000-000018000000}"/>
    <cellStyle name="20% - Ênfase2 2 2 2 2" xfId="26" xr:uid="{00000000-0005-0000-0000-000019000000}"/>
    <cellStyle name="20% - Ênfase2 2 2 3" xfId="27" xr:uid="{00000000-0005-0000-0000-00001A000000}"/>
    <cellStyle name="20% - Ênfase2 2 3" xfId="28" xr:uid="{00000000-0005-0000-0000-00001B000000}"/>
    <cellStyle name="20% - Ênfase2 2 3 2" xfId="29" xr:uid="{00000000-0005-0000-0000-00001C000000}"/>
    <cellStyle name="20% - Ênfase2 2 4" xfId="30" xr:uid="{00000000-0005-0000-0000-00001D000000}"/>
    <cellStyle name="20% - Ênfase3" xfId="31" builtinId="38" customBuiltin="1"/>
    <cellStyle name="20% - Ênfase3 2" xfId="32" xr:uid="{00000000-0005-0000-0000-00001F000000}"/>
    <cellStyle name="20% - Ênfase3 2 2" xfId="33" xr:uid="{00000000-0005-0000-0000-000020000000}"/>
    <cellStyle name="20% - Ênfase3 2 2 2" xfId="34" xr:uid="{00000000-0005-0000-0000-000021000000}"/>
    <cellStyle name="20% - Ênfase3 2 2 2 2" xfId="35" xr:uid="{00000000-0005-0000-0000-000022000000}"/>
    <cellStyle name="20% - Ênfase3 2 2 3" xfId="36" xr:uid="{00000000-0005-0000-0000-000023000000}"/>
    <cellStyle name="20% - Ênfase3 2 3" xfId="37" xr:uid="{00000000-0005-0000-0000-000024000000}"/>
    <cellStyle name="20% - Ênfase3 2 3 2" xfId="38" xr:uid="{00000000-0005-0000-0000-000025000000}"/>
    <cellStyle name="20% - Ênfase3 2 4" xfId="39" xr:uid="{00000000-0005-0000-0000-000026000000}"/>
    <cellStyle name="20% - Ênfase4" xfId="40" builtinId="42" customBuiltin="1"/>
    <cellStyle name="20% - Ênfase4 2" xfId="41" xr:uid="{00000000-0005-0000-0000-000028000000}"/>
    <cellStyle name="20% - Ênfase4 2 2" xfId="42" xr:uid="{00000000-0005-0000-0000-000029000000}"/>
    <cellStyle name="20% - Ênfase4 2 2 2" xfId="43" xr:uid="{00000000-0005-0000-0000-00002A000000}"/>
    <cellStyle name="20% - Ênfase4 2 2 2 2" xfId="44" xr:uid="{00000000-0005-0000-0000-00002B000000}"/>
    <cellStyle name="20% - Ênfase4 2 2 3" xfId="45" xr:uid="{00000000-0005-0000-0000-00002C000000}"/>
    <cellStyle name="20% - Ênfase4 2 3" xfId="46" xr:uid="{00000000-0005-0000-0000-00002D000000}"/>
    <cellStyle name="20% - Ênfase4 2 3 2" xfId="47" xr:uid="{00000000-0005-0000-0000-00002E000000}"/>
    <cellStyle name="20% - Ênfase4 2 4" xfId="48" xr:uid="{00000000-0005-0000-0000-00002F000000}"/>
    <cellStyle name="20% - Ênfase5" xfId="49" builtinId="46" customBuiltin="1"/>
    <cellStyle name="20% - Ênfase5 2" xfId="50" xr:uid="{00000000-0005-0000-0000-000031000000}"/>
    <cellStyle name="20% - Ênfase5 2 2" xfId="51" xr:uid="{00000000-0005-0000-0000-000032000000}"/>
    <cellStyle name="20% - Ênfase5 2 2 2" xfId="52" xr:uid="{00000000-0005-0000-0000-000033000000}"/>
    <cellStyle name="20% - Ênfase5 2 2 2 2" xfId="53" xr:uid="{00000000-0005-0000-0000-000034000000}"/>
    <cellStyle name="20% - Ênfase5 2 2 3" xfId="54" xr:uid="{00000000-0005-0000-0000-000035000000}"/>
    <cellStyle name="20% - Ênfase5 2 3" xfId="55" xr:uid="{00000000-0005-0000-0000-000036000000}"/>
    <cellStyle name="20% - Ênfase5 2 3 2" xfId="56" xr:uid="{00000000-0005-0000-0000-000037000000}"/>
    <cellStyle name="20% - Ênfase5 2 4" xfId="57" xr:uid="{00000000-0005-0000-0000-000038000000}"/>
    <cellStyle name="20% - Ênfase6" xfId="58" builtinId="50" customBuiltin="1"/>
    <cellStyle name="20% - Ênfase6 2" xfId="59" xr:uid="{00000000-0005-0000-0000-00003A000000}"/>
    <cellStyle name="20% - Ênfase6 2 2" xfId="60" xr:uid="{00000000-0005-0000-0000-00003B000000}"/>
    <cellStyle name="20% - Ênfase6 2 2 2" xfId="61" xr:uid="{00000000-0005-0000-0000-00003C000000}"/>
    <cellStyle name="20% - Ênfase6 2 2 2 2" xfId="62" xr:uid="{00000000-0005-0000-0000-00003D000000}"/>
    <cellStyle name="20% - Ênfase6 2 2 3" xfId="63" xr:uid="{00000000-0005-0000-0000-00003E000000}"/>
    <cellStyle name="20% - Ênfase6 2 3" xfId="64" xr:uid="{00000000-0005-0000-0000-00003F000000}"/>
    <cellStyle name="20% - Ênfase6 2 3 2" xfId="65" xr:uid="{00000000-0005-0000-0000-000040000000}"/>
    <cellStyle name="20% - Ênfase6 2 4" xfId="66" xr:uid="{00000000-0005-0000-0000-000041000000}"/>
    <cellStyle name="40% - Accent1" xfId="67" xr:uid="{00000000-0005-0000-0000-000042000000}"/>
    <cellStyle name="40% - Accent2" xfId="68" xr:uid="{00000000-0005-0000-0000-000043000000}"/>
    <cellStyle name="40% - Accent3" xfId="69" xr:uid="{00000000-0005-0000-0000-000044000000}"/>
    <cellStyle name="40% - Accent4" xfId="70" xr:uid="{00000000-0005-0000-0000-000045000000}"/>
    <cellStyle name="40% - Accent5" xfId="71" xr:uid="{00000000-0005-0000-0000-000046000000}"/>
    <cellStyle name="40% - Accent6" xfId="72" xr:uid="{00000000-0005-0000-0000-000047000000}"/>
    <cellStyle name="40% - Cor1 2" xfId="73" xr:uid="{00000000-0005-0000-0000-000048000000}"/>
    <cellStyle name="40% - Cor2 2" xfId="74" xr:uid="{00000000-0005-0000-0000-000049000000}"/>
    <cellStyle name="40% - Cor3 2" xfId="75" xr:uid="{00000000-0005-0000-0000-00004A000000}"/>
    <cellStyle name="40% - Cor4 2" xfId="76" xr:uid="{00000000-0005-0000-0000-00004B000000}"/>
    <cellStyle name="40% - Cor5 2" xfId="77" xr:uid="{00000000-0005-0000-0000-00004C000000}"/>
    <cellStyle name="40% - Cor6 2" xfId="78" xr:uid="{00000000-0005-0000-0000-00004D000000}"/>
    <cellStyle name="40% - Ênfase1" xfId="79" builtinId="31" customBuiltin="1"/>
    <cellStyle name="40% - Ênfase1 2" xfId="80" xr:uid="{00000000-0005-0000-0000-00004F000000}"/>
    <cellStyle name="40% - Ênfase1 2 2" xfId="81" xr:uid="{00000000-0005-0000-0000-000050000000}"/>
    <cellStyle name="40% - Ênfase1 2 2 2" xfId="82" xr:uid="{00000000-0005-0000-0000-000051000000}"/>
    <cellStyle name="40% - Ênfase1 2 2 2 2" xfId="83" xr:uid="{00000000-0005-0000-0000-000052000000}"/>
    <cellStyle name="40% - Ênfase1 2 2 3" xfId="84" xr:uid="{00000000-0005-0000-0000-000053000000}"/>
    <cellStyle name="40% - Ênfase1 2 3" xfId="85" xr:uid="{00000000-0005-0000-0000-000054000000}"/>
    <cellStyle name="40% - Ênfase1 2 3 2" xfId="86" xr:uid="{00000000-0005-0000-0000-000055000000}"/>
    <cellStyle name="40% - Ênfase1 2 4" xfId="87" xr:uid="{00000000-0005-0000-0000-000056000000}"/>
    <cellStyle name="40% - Ênfase2" xfId="88" builtinId="35" customBuiltin="1"/>
    <cellStyle name="40% - Ênfase2 2" xfId="89" xr:uid="{00000000-0005-0000-0000-000058000000}"/>
    <cellStyle name="40% - Ênfase2 2 2" xfId="90" xr:uid="{00000000-0005-0000-0000-000059000000}"/>
    <cellStyle name="40% - Ênfase2 2 2 2" xfId="91" xr:uid="{00000000-0005-0000-0000-00005A000000}"/>
    <cellStyle name="40% - Ênfase2 2 2 2 2" xfId="92" xr:uid="{00000000-0005-0000-0000-00005B000000}"/>
    <cellStyle name="40% - Ênfase2 2 2 3" xfId="93" xr:uid="{00000000-0005-0000-0000-00005C000000}"/>
    <cellStyle name="40% - Ênfase2 2 3" xfId="94" xr:uid="{00000000-0005-0000-0000-00005D000000}"/>
    <cellStyle name="40% - Ênfase2 2 3 2" xfId="95" xr:uid="{00000000-0005-0000-0000-00005E000000}"/>
    <cellStyle name="40% - Ênfase2 2 4" xfId="96" xr:uid="{00000000-0005-0000-0000-00005F000000}"/>
    <cellStyle name="40% - Ênfase3" xfId="97" builtinId="39" customBuiltin="1"/>
    <cellStyle name="40% - Ênfase3 2" xfId="98" xr:uid="{00000000-0005-0000-0000-000061000000}"/>
    <cellStyle name="40% - Ênfase3 2 2" xfId="99" xr:uid="{00000000-0005-0000-0000-000062000000}"/>
    <cellStyle name="40% - Ênfase3 2 2 2" xfId="100" xr:uid="{00000000-0005-0000-0000-000063000000}"/>
    <cellStyle name="40% - Ênfase3 2 2 2 2" xfId="101" xr:uid="{00000000-0005-0000-0000-000064000000}"/>
    <cellStyle name="40% - Ênfase3 2 2 3" xfId="102" xr:uid="{00000000-0005-0000-0000-000065000000}"/>
    <cellStyle name="40% - Ênfase3 2 3" xfId="103" xr:uid="{00000000-0005-0000-0000-000066000000}"/>
    <cellStyle name="40% - Ênfase3 2 3 2" xfId="104" xr:uid="{00000000-0005-0000-0000-000067000000}"/>
    <cellStyle name="40% - Ênfase3 2 4" xfId="105" xr:uid="{00000000-0005-0000-0000-000068000000}"/>
    <cellStyle name="40% - Ênfase4" xfId="106" builtinId="43" customBuiltin="1"/>
    <cellStyle name="40% - Ênfase4 2" xfId="107" xr:uid="{00000000-0005-0000-0000-00006A000000}"/>
    <cellStyle name="40% - Ênfase4 2 2" xfId="108" xr:uid="{00000000-0005-0000-0000-00006B000000}"/>
    <cellStyle name="40% - Ênfase4 2 2 2" xfId="109" xr:uid="{00000000-0005-0000-0000-00006C000000}"/>
    <cellStyle name="40% - Ênfase4 2 2 2 2" xfId="110" xr:uid="{00000000-0005-0000-0000-00006D000000}"/>
    <cellStyle name="40% - Ênfase4 2 2 3" xfId="111" xr:uid="{00000000-0005-0000-0000-00006E000000}"/>
    <cellStyle name="40% - Ênfase4 2 3" xfId="112" xr:uid="{00000000-0005-0000-0000-00006F000000}"/>
    <cellStyle name="40% - Ênfase4 2 3 2" xfId="113" xr:uid="{00000000-0005-0000-0000-000070000000}"/>
    <cellStyle name="40% - Ênfase4 2 4" xfId="114" xr:uid="{00000000-0005-0000-0000-000071000000}"/>
    <cellStyle name="40% - Ênfase5" xfId="115" builtinId="47" customBuiltin="1"/>
    <cellStyle name="40% - Ênfase5 2" xfId="116" xr:uid="{00000000-0005-0000-0000-000073000000}"/>
    <cellStyle name="40% - Ênfase5 2 2" xfId="117" xr:uid="{00000000-0005-0000-0000-000074000000}"/>
    <cellStyle name="40% - Ênfase5 2 2 2" xfId="118" xr:uid="{00000000-0005-0000-0000-000075000000}"/>
    <cellStyle name="40% - Ênfase5 2 2 2 2" xfId="119" xr:uid="{00000000-0005-0000-0000-000076000000}"/>
    <cellStyle name="40% - Ênfase5 2 2 3" xfId="120" xr:uid="{00000000-0005-0000-0000-000077000000}"/>
    <cellStyle name="40% - Ênfase5 2 3" xfId="121" xr:uid="{00000000-0005-0000-0000-000078000000}"/>
    <cellStyle name="40% - Ênfase5 2 3 2" xfId="122" xr:uid="{00000000-0005-0000-0000-000079000000}"/>
    <cellStyle name="40% - Ênfase5 2 4" xfId="123" xr:uid="{00000000-0005-0000-0000-00007A000000}"/>
    <cellStyle name="40% - Ênfase6" xfId="124" builtinId="51" customBuiltin="1"/>
    <cellStyle name="40% - Ênfase6 2" xfId="125" xr:uid="{00000000-0005-0000-0000-00007C000000}"/>
    <cellStyle name="40% - Ênfase6 2 2" xfId="126" xr:uid="{00000000-0005-0000-0000-00007D000000}"/>
    <cellStyle name="40% - Ênfase6 2 2 2" xfId="127" xr:uid="{00000000-0005-0000-0000-00007E000000}"/>
    <cellStyle name="40% - Ênfase6 2 2 2 2" xfId="128" xr:uid="{00000000-0005-0000-0000-00007F000000}"/>
    <cellStyle name="40% - Ênfase6 2 2 3" xfId="129" xr:uid="{00000000-0005-0000-0000-000080000000}"/>
    <cellStyle name="40% - Ênfase6 2 3" xfId="130" xr:uid="{00000000-0005-0000-0000-000081000000}"/>
    <cellStyle name="40% - Ênfase6 2 3 2" xfId="131" xr:uid="{00000000-0005-0000-0000-000082000000}"/>
    <cellStyle name="40% - Ênfase6 2 4" xfId="132" xr:uid="{00000000-0005-0000-0000-000083000000}"/>
    <cellStyle name="60% - Accent1" xfId="133" xr:uid="{00000000-0005-0000-0000-000084000000}"/>
    <cellStyle name="60% - Accent2" xfId="134" xr:uid="{00000000-0005-0000-0000-000085000000}"/>
    <cellStyle name="60% - Accent3" xfId="135" xr:uid="{00000000-0005-0000-0000-000086000000}"/>
    <cellStyle name="60% - Accent4" xfId="136" xr:uid="{00000000-0005-0000-0000-000087000000}"/>
    <cellStyle name="60% - Accent5" xfId="137" xr:uid="{00000000-0005-0000-0000-000088000000}"/>
    <cellStyle name="60% - Accent6" xfId="138" xr:uid="{00000000-0005-0000-0000-000089000000}"/>
    <cellStyle name="60% - Cor1 2" xfId="139" xr:uid="{00000000-0005-0000-0000-00008A000000}"/>
    <cellStyle name="60% - Cor2 2" xfId="140" xr:uid="{00000000-0005-0000-0000-00008B000000}"/>
    <cellStyle name="60% - Cor3 2" xfId="141" xr:uid="{00000000-0005-0000-0000-00008C000000}"/>
    <cellStyle name="60% - Cor4 2" xfId="142" xr:uid="{00000000-0005-0000-0000-00008D000000}"/>
    <cellStyle name="60% - Cor5 2" xfId="143" xr:uid="{00000000-0005-0000-0000-00008E000000}"/>
    <cellStyle name="60% - Cor6 2" xfId="144" xr:uid="{00000000-0005-0000-0000-00008F000000}"/>
    <cellStyle name="60% - Ênfase1" xfId="145" builtinId="32" customBuiltin="1"/>
    <cellStyle name="60% - Ênfase1 2" xfId="146" xr:uid="{00000000-0005-0000-0000-000091000000}"/>
    <cellStyle name="60% - Ênfase2" xfId="147" builtinId="36" customBuiltin="1"/>
    <cellStyle name="60% - Ênfase2 2" xfId="148" xr:uid="{00000000-0005-0000-0000-000093000000}"/>
    <cellStyle name="60% - Ênfase3" xfId="149" builtinId="40" customBuiltin="1"/>
    <cellStyle name="60% - Ênfase3 2" xfId="150" xr:uid="{00000000-0005-0000-0000-000095000000}"/>
    <cellStyle name="60% - Ênfase4" xfId="151" builtinId="44" customBuiltin="1"/>
    <cellStyle name="60% - Ênfase4 2" xfId="152" xr:uid="{00000000-0005-0000-0000-000097000000}"/>
    <cellStyle name="60% - Ênfase5" xfId="153" builtinId="48" customBuiltin="1"/>
    <cellStyle name="60% - Ênfase5 2" xfId="154" xr:uid="{00000000-0005-0000-0000-000099000000}"/>
    <cellStyle name="60% - Ênfase6" xfId="155" builtinId="52" customBuiltin="1"/>
    <cellStyle name="60% - Ênfase6 2" xfId="156" xr:uid="{00000000-0005-0000-0000-00009B000000}"/>
    <cellStyle name="Accent1" xfId="157" xr:uid="{00000000-0005-0000-0000-00009C000000}"/>
    <cellStyle name="Accent2" xfId="158" xr:uid="{00000000-0005-0000-0000-00009D000000}"/>
    <cellStyle name="Accent3" xfId="159" xr:uid="{00000000-0005-0000-0000-00009E000000}"/>
    <cellStyle name="Accent4" xfId="160" xr:uid="{00000000-0005-0000-0000-00009F000000}"/>
    <cellStyle name="Accent5" xfId="161" xr:uid="{00000000-0005-0000-0000-0000A0000000}"/>
    <cellStyle name="Accent6" xfId="162" xr:uid="{00000000-0005-0000-0000-0000A1000000}"/>
    <cellStyle name="Bad" xfId="163" xr:uid="{00000000-0005-0000-0000-0000A2000000}"/>
    <cellStyle name="Bom" xfId="164" builtinId="26" customBuiltin="1"/>
    <cellStyle name="Bom 2" xfId="165" xr:uid="{00000000-0005-0000-0000-0000A4000000}"/>
    <cellStyle name="Bom 2 2" xfId="166" xr:uid="{00000000-0005-0000-0000-0000A5000000}"/>
    <cellStyle name="Bom 2 3" xfId="167" xr:uid="{00000000-0005-0000-0000-0000A6000000}"/>
    <cellStyle name="Bom 2 4" xfId="168" xr:uid="{00000000-0005-0000-0000-0000A7000000}"/>
    <cellStyle name="Cabeçalho 1 2" xfId="169" xr:uid="{00000000-0005-0000-0000-0000A8000000}"/>
    <cellStyle name="Cabeçalho 2 2" xfId="170" xr:uid="{00000000-0005-0000-0000-0000A9000000}"/>
    <cellStyle name="Cabeçalho 3 2" xfId="171" xr:uid="{00000000-0005-0000-0000-0000AA000000}"/>
    <cellStyle name="Cabeçalho 4 2" xfId="172" xr:uid="{00000000-0005-0000-0000-0000AB000000}"/>
    <cellStyle name="Calculation" xfId="173" xr:uid="{00000000-0005-0000-0000-0000AC000000}"/>
    <cellStyle name="Calculation 2" xfId="174" xr:uid="{00000000-0005-0000-0000-0000AD000000}"/>
    <cellStyle name="Calculation 3" xfId="175" xr:uid="{00000000-0005-0000-0000-0000AE000000}"/>
    <cellStyle name="Calculation 4" xfId="176" xr:uid="{00000000-0005-0000-0000-0000AF000000}"/>
    <cellStyle name="Cálculo" xfId="177" builtinId="22" customBuiltin="1"/>
    <cellStyle name="Cálculo 2" xfId="178" xr:uid="{00000000-0005-0000-0000-0000B1000000}"/>
    <cellStyle name="Cálculo 2 2" xfId="179" xr:uid="{00000000-0005-0000-0000-0000B2000000}"/>
    <cellStyle name="Cálculo 2 2 2" xfId="180" xr:uid="{00000000-0005-0000-0000-0000B3000000}"/>
    <cellStyle name="Cálculo 2 2 3" xfId="181" xr:uid="{00000000-0005-0000-0000-0000B4000000}"/>
    <cellStyle name="Cálculo 2 2 4" xfId="182" xr:uid="{00000000-0005-0000-0000-0000B5000000}"/>
    <cellStyle name="Cálculo 2 3" xfId="183" xr:uid="{00000000-0005-0000-0000-0000B6000000}"/>
    <cellStyle name="Cálculo 2 4" xfId="184" xr:uid="{00000000-0005-0000-0000-0000B7000000}"/>
    <cellStyle name="Cálculo 2_CAB-COMP" xfId="185" xr:uid="{00000000-0005-0000-0000-0000B8000000}"/>
    <cellStyle name="Cálculo 3" xfId="186" xr:uid="{00000000-0005-0000-0000-0000B9000000}"/>
    <cellStyle name="Cálculo 3 2" xfId="187" xr:uid="{00000000-0005-0000-0000-0000BA000000}"/>
    <cellStyle name="Cálculo 3 3" xfId="188" xr:uid="{00000000-0005-0000-0000-0000BB000000}"/>
    <cellStyle name="Cálculo 3 4" xfId="189" xr:uid="{00000000-0005-0000-0000-0000BC000000}"/>
    <cellStyle name="Célula de Verificação" xfId="190" builtinId="23" customBuiltin="1"/>
    <cellStyle name="Célula de Verificação 2" xfId="191" xr:uid="{00000000-0005-0000-0000-0000BE000000}"/>
    <cellStyle name="Célula de Verificação 2 2" xfId="192" xr:uid="{00000000-0005-0000-0000-0000BF000000}"/>
    <cellStyle name="Célula de Verificação 2 3" xfId="193" xr:uid="{00000000-0005-0000-0000-0000C0000000}"/>
    <cellStyle name="Célula de Verificação 2 4" xfId="194" xr:uid="{00000000-0005-0000-0000-0000C1000000}"/>
    <cellStyle name="Célula Ligada 2" xfId="195" xr:uid="{00000000-0005-0000-0000-0000C2000000}"/>
    <cellStyle name="Célula Vinculada" xfId="196" builtinId="24" customBuiltin="1"/>
    <cellStyle name="Célula Vinculada 2" xfId="197" xr:uid="{00000000-0005-0000-0000-0000C4000000}"/>
    <cellStyle name="Check Cell" xfId="198" xr:uid="{00000000-0005-0000-0000-0000C5000000}"/>
    <cellStyle name="Company Logo" xfId="199" xr:uid="{00000000-0005-0000-0000-0000C6000000}"/>
    <cellStyle name="Cor1 2" xfId="200" xr:uid="{00000000-0005-0000-0000-0000C7000000}"/>
    <cellStyle name="Cor2 2" xfId="201" xr:uid="{00000000-0005-0000-0000-0000C8000000}"/>
    <cellStyle name="Cor3 2" xfId="202" xr:uid="{00000000-0005-0000-0000-0000C9000000}"/>
    <cellStyle name="Cor4 2" xfId="203" xr:uid="{00000000-0005-0000-0000-0000CA000000}"/>
    <cellStyle name="Cor5 2" xfId="204" xr:uid="{00000000-0005-0000-0000-0000CB000000}"/>
    <cellStyle name="Cor6 2" xfId="205" xr:uid="{00000000-0005-0000-0000-0000CC000000}"/>
    <cellStyle name="Correcto" xfId="206" xr:uid="{00000000-0005-0000-0000-0000CD000000}"/>
    <cellStyle name="Data Headings" xfId="207" xr:uid="{00000000-0005-0000-0000-0000CE000000}"/>
    <cellStyle name="Data Headings 2" xfId="208" xr:uid="{00000000-0005-0000-0000-0000CF000000}"/>
    <cellStyle name="Data Input" xfId="209" xr:uid="{00000000-0005-0000-0000-0000D0000000}"/>
    <cellStyle name="Ênfase1" xfId="210" builtinId="29" customBuiltin="1"/>
    <cellStyle name="Ênfase1 2" xfId="211" xr:uid="{00000000-0005-0000-0000-0000D2000000}"/>
    <cellStyle name="Ênfase2" xfId="212" builtinId="33" customBuiltin="1"/>
    <cellStyle name="Ênfase2 2" xfId="213" xr:uid="{00000000-0005-0000-0000-0000D4000000}"/>
    <cellStyle name="Ênfase3" xfId="214" builtinId="37" customBuiltin="1"/>
    <cellStyle name="Ênfase3 2" xfId="215" xr:uid="{00000000-0005-0000-0000-0000D6000000}"/>
    <cellStyle name="Ênfase4" xfId="216" builtinId="41" customBuiltin="1"/>
    <cellStyle name="Ênfase4 2" xfId="217" xr:uid="{00000000-0005-0000-0000-0000D8000000}"/>
    <cellStyle name="Ênfase5" xfId="218" builtinId="45" customBuiltin="1"/>
    <cellStyle name="Ênfase5 2" xfId="219" xr:uid="{00000000-0005-0000-0000-0000DA000000}"/>
    <cellStyle name="Ênfase6" xfId="220" builtinId="49" customBuiltin="1"/>
    <cellStyle name="Ênfase6 2" xfId="221" xr:uid="{00000000-0005-0000-0000-0000DC000000}"/>
    <cellStyle name="Entrada" xfId="222" builtinId="20" customBuiltin="1"/>
    <cellStyle name="Entrada 2" xfId="223" xr:uid="{00000000-0005-0000-0000-0000DE000000}"/>
    <cellStyle name="Entrada 2 2" xfId="224" xr:uid="{00000000-0005-0000-0000-0000DF000000}"/>
    <cellStyle name="Entrada 2 2 2" xfId="225" xr:uid="{00000000-0005-0000-0000-0000E0000000}"/>
    <cellStyle name="Entrada 2 2 3" xfId="226" xr:uid="{00000000-0005-0000-0000-0000E1000000}"/>
    <cellStyle name="Entrada 2 2 4" xfId="227" xr:uid="{00000000-0005-0000-0000-0000E2000000}"/>
    <cellStyle name="Entrada 2 3" xfId="228" xr:uid="{00000000-0005-0000-0000-0000E3000000}"/>
    <cellStyle name="Entrada 2 4" xfId="229" xr:uid="{00000000-0005-0000-0000-0000E4000000}"/>
    <cellStyle name="Entrada 2_CAB-COMP" xfId="230" xr:uid="{00000000-0005-0000-0000-0000E5000000}"/>
    <cellStyle name="Entrada 3" xfId="231" xr:uid="{00000000-0005-0000-0000-0000E6000000}"/>
    <cellStyle name="Entrada 3 2" xfId="232" xr:uid="{00000000-0005-0000-0000-0000E7000000}"/>
    <cellStyle name="Entrada 3 3" xfId="233" xr:uid="{00000000-0005-0000-0000-0000E8000000}"/>
    <cellStyle name="Entrada 3 4" xfId="234" xr:uid="{00000000-0005-0000-0000-0000E9000000}"/>
    <cellStyle name="Estilo 1" xfId="235" xr:uid="{00000000-0005-0000-0000-0000EA000000}"/>
    <cellStyle name="Estilo 1 2" xfId="236" xr:uid="{00000000-0005-0000-0000-0000EB000000}"/>
    <cellStyle name="Estilo 1 2 2" xfId="237" xr:uid="{00000000-0005-0000-0000-0000EC000000}"/>
    <cellStyle name="Estilo 1 2 2 2" xfId="238" xr:uid="{00000000-0005-0000-0000-0000ED000000}"/>
    <cellStyle name="Estilo 1 2 3" xfId="239" xr:uid="{00000000-0005-0000-0000-0000EE000000}"/>
    <cellStyle name="Estilo 1 2 3 2" xfId="240" xr:uid="{00000000-0005-0000-0000-0000EF000000}"/>
    <cellStyle name="Estilo 1 2 4" xfId="241" xr:uid="{00000000-0005-0000-0000-0000F0000000}"/>
    <cellStyle name="Estilo 1 3" xfId="242" xr:uid="{00000000-0005-0000-0000-0000F1000000}"/>
    <cellStyle name="Estilo 1 3 2" xfId="243" xr:uid="{00000000-0005-0000-0000-0000F2000000}"/>
    <cellStyle name="Estilo 1 3 2 2" xfId="244" xr:uid="{00000000-0005-0000-0000-0000F3000000}"/>
    <cellStyle name="Estilo 1 3 3" xfId="245" xr:uid="{00000000-0005-0000-0000-0000F4000000}"/>
    <cellStyle name="Estilo 1 3 3 2" xfId="246" xr:uid="{00000000-0005-0000-0000-0000F5000000}"/>
    <cellStyle name="Estilo 1 3 4" xfId="247" xr:uid="{00000000-0005-0000-0000-0000F6000000}"/>
    <cellStyle name="Estilo 1 4" xfId="248" xr:uid="{00000000-0005-0000-0000-0000F7000000}"/>
    <cellStyle name="Estilo 1 5" xfId="249" xr:uid="{00000000-0005-0000-0000-0000F8000000}"/>
    <cellStyle name="Estilo 1 6" xfId="250" xr:uid="{00000000-0005-0000-0000-0000F9000000}"/>
    <cellStyle name="Estilo 1 7" xfId="251" xr:uid="{00000000-0005-0000-0000-0000FA000000}"/>
    <cellStyle name="Euro" xfId="252" xr:uid="{00000000-0005-0000-0000-0000FB000000}"/>
    <cellStyle name="Euro 2" xfId="253" xr:uid="{00000000-0005-0000-0000-0000FC000000}"/>
    <cellStyle name="Euro 2 2" xfId="254" xr:uid="{00000000-0005-0000-0000-0000FD000000}"/>
    <cellStyle name="Euro 3" xfId="255" xr:uid="{00000000-0005-0000-0000-0000FE000000}"/>
    <cellStyle name="Euro 4" xfId="256" xr:uid="{00000000-0005-0000-0000-0000FF000000}"/>
    <cellStyle name="Excel_BuiltIn_Comma" xfId="257" xr:uid="{00000000-0005-0000-0000-000000010000}"/>
    <cellStyle name="Explanatory Text" xfId="258" xr:uid="{00000000-0005-0000-0000-000001010000}"/>
    <cellStyle name="Good" xfId="259" xr:uid="{00000000-0005-0000-0000-000002010000}"/>
    <cellStyle name="Heading" xfId="260" xr:uid="{00000000-0005-0000-0000-000003010000}"/>
    <cellStyle name="Heading 1" xfId="261" xr:uid="{00000000-0005-0000-0000-000004010000}"/>
    <cellStyle name="Heading 2" xfId="262" xr:uid="{00000000-0005-0000-0000-000005010000}"/>
    <cellStyle name="Heading 3" xfId="263" xr:uid="{00000000-0005-0000-0000-000006010000}"/>
    <cellStyle name="Heading 4" xfId="264" xr:uid="{00000000-0005-0000-0000-000007010000}"/>
    <cellStyle name="Heading_CAB-COMP" xfId="265" xr:uid="{00000000-0005-0000-0000-000008010000}"/>
    <cellStyle name="Heading1" xfId="266" xr:uid="{00000000-0005-0000-0000-000009010000}"/>
    <cellStyle name="Hyperlink 2" xfId="267" xr:uid="{00000000-0005-0000-0000-00000A010000}"/>
    <cellStyle name="Incorrecto 2" xfId="268" xr:uid="{00000000-0005-0000-0000-00000B010000}"/>
    <cellStyle name="Incorreto 2" xfId="270" xr:uid="{00000000-0005-0000-0000-00000D010000}"/>
    <cellStyle name="Input" xfId="271" xr:uid="{00000000-0005-0000-0000-00000E010000}"/>
    <cellStyle name="Input 2" xfId="272" xr:uid="{00000000-0005-0000-0000-00000F010000}"/>
    <cellStyle name="Input 3" xfId="273" xr:uid="{00000000-0005-0000-0000-000010010000}"/>
    <cellStyle name="Input 4" xfId="274" xr:uid="{00000000-0005-0000-0000-000011010000}"/>
    <cellStyle name="Linked Cell" xfId="275" xr:uid="{00000000-0005-0000-0000-000012010000}"/>
    <cellStyle name="material" xfId="276" xr:uid="{00000000-0005-0000-0000-000013010000}"/>
    <cellStyle name="material 2" xfId="277" xr:uid="{00000000-0005-0000-0000-000014010000}"/>
    <cellStyle name="Moeda" xfId="2225" builtinId="4"/>
    <cellStyle name="Moeda 10" xfId="278" xr:uid="{00000000-0005-0000-0000-000016010000}"/>
    <cellStyle name="Moeda 10 2" xfId="279" xr:uid="{00000000-0005-0000-0000-000017010000}"/>
    <cellStyle name="Moeda 10 2 2" xfId="280" xr:uid="{00000000-0005-0000-0000-000018010000}"/>
    <cellStyle name="Moeda 10 2 2 2" xfId="281" xr:uid="{00000000-0005-0000-0000-000019010000}"/>
    <cellStyle name="Moeda 10 2 3" xfId="282" xr:uid="{00000000-0005-0000-0000-00001A010000}"/>
    <cellStyle name="Moeda 10 2 3 2" xfId="283" xr:uid="{00000000-0005-0000-0000-00001B010000}"/>
    <cellStyle name="Moeda 10 3" xfId="284" xr:uid="{00000000-0005-0000-0000-00001C010000}"/>
    <cellStyle name="Moeda 11" xfId="285" xr:uid="{00000000-0005-0000-0000-00001D010000}"/>
    <cellStyle name="Moeda 17" xfId="2228" xr:uid="{7AFFE602-70B5-419D-ABBC-6DE8AD99913D}"/>
    <cellStyle name="Moeda 2" xfId="286" xr:uid="{00000000-0005-0000-0000-00001E010000}"/>
    <cellStyle name="Moeda 2 10" xfId="287" xr:uid="{00000000-0005-0000-0000-00001F010000}"/>
    <cellStyle name="Moeda 2 10 2" xfId="288" xr:uid="{00000000-0005-0000-0000-000020010000}"/>
    <cellStyle name="Moeda 2 11" xfId="289" xr:uid="{00000000-0005-0000-0000-000021010000}"/>
    <cellStyle name="Moeda 2 11 2" xfId="290" xr:uid="{00000000-0005-0000-0000-000022010000}"/>
    <cellStyle name="Moeda 2 12" xfId="291" xr:uid="{00000000-0005-0000-0000-000023010000}"/>
    <cellStyle name="Moeda 2 12 2" xfId="292" xr:uid="{00000000-0005-0000-0000-000024010000}"/>
    <cellStyle name="Moeda 2 13" xfId="293" xr:uid="{00000000-0005-0000-0000-000025010000}"/>
    <cellStyle name="Moeda 2 13 2" xfId="294" xr:uid="{00000000-0005-0000-0000-000026010000}"/>
    <cellStyle name="Moeda 2 13 2 2" xfId="295" xr:uid="{00000000-0005-0000-0000-000027010000}"/>
    <cellStyle name="Moeda 2 13 3" xfId="296" xr:uid="{00000000-0005-0000-0000-000028010000}"/>
    <cellStyle name="Moeda 2 13 3 2" xfId="297" xr:uid="{00000000-0005-0000-0000-000029010000}"/>
    <cellStyle name="Moeda 2 13 4" xfId="298" xr:uid="{00000000-0005-0000-0000-00002A010000}"/>
    <cellStyle name="Moeda 2 14" xfId="299" xr:uid="{00000000-0005-0000-0000-00002B010000}"/>
    <cellStyle name="Moeda 2 14 2" xfId="300" xr:uid="{00000000-0005-0000-0000-00002C010000}"/>
    <cellStyle name="Moeda 2 15" xfId="301" xr:uid="{00000000-0005-0000-0000-00002D010000}"/>
    <cellStyle name="Moeda 2 15 2" xfId="302" xr:uid="{00000000-0005-0000-0000-00002E010000}"/>
    <cellStyle name="Moeda 2 16" xfId="303" xr:uid="{00000000-0005-0000-0000-00002F010000}"/>
    <cellStyle name="Moeda 2 16 2" xfId="304" xr:uid="{00000000-0005-0000-0000-000030010000}"/>
    <cellStyle name="Moeda 2 17" xfId="305" xr:uid="{00000000-0005-0000-0000-000031010000}"/>
    <cellStyle name="Moeda 2 17 2" xfId="306" xr:uid="{00000000-0005-0000-0000-000032010000}"/>
    <cellStyle name="Moeda 2 18" xfId="307" xr:uid="{00000000-0005-0000-0000-000033010000}"/>
    <cellStyle name="Moeda 2 18 2" xfId="308" xr:uid="{00000000-0005-0000-0000-000034010000}"/>
    <cellStyle name="Moeda 2 19" xfId="309" xr:uid="{00000000-0005-0000-0000-000035010000}"/>
    <cellStyle name="Moeda 2 19 2" xfId="310" xr:uid="{00000000-0005-0000-0000-000036010000}"/>
    <cellStyle name="Moeda 2 2" xfId="311" xr:uid="{00000000-0005-0000-0000-000037010000}"/>
    <cellStyle name="Moeda 2 2 10" xfId="312" xr:uid="{00000000-0005-0000-0000-000038010000}"/>
    <cellStyle name="Moeda 2 2 10 2" xfId="313" xr:uid="{00000000-0005-0000-0000-000039010000}"/>
    <cellStyle name="Moeda 2 2 11" xfId="314" xr:uid="{00000000-0005-0000-0000-00003A010000}"/>
    <cellStyle name="Moeda 2 2 12" xfId="315" xr:uid="{00000000-0005-0000-0000-00003B010000}"/>
    <cellStyle name="Moeda 2 2 2" xfId="316" xr:uid="{00000000-0005-0000-0000-00003C010000}"/>
    <cellStyle name="Moeda 2 2 2 2" xfId="317" xr:uid="{00000000-0005-0000-0000-00003D010000}"/>
    <cellStyle name="Moeda 2 2 3" xfId="318" xr:uid="{00000000-0005-0000-0000-00003E010000}"/>
    <cellStyle name="Moeda 2 2 3 2" xfId="319" xr:uid="{00000000-0005-0000-0000-00003F010000}"/>
    <cellStyle name="Moeda 2 2 4" xfId="320" xr:uid="{00000000-0005-0000-0000-000040010000}"/>
    <cellStyle name="Moeda 2 2 4 2" xfId="321" xr:uid="{00000000-0005-0000-0000-000041010000}"/>
    <cellStyle name="Moeda 2 2 5" xfId="322" xr:uid="{00000000-0005-0000-0000-000042010000}"/>
    <cellStyle name="Moeda 2 2 5 2" xfId="323" xr:uid="{00000000-0005-0000-0000-000043010000}"/>
    <cellStyle name="Moeda 2 2 6" xfId="324" xr:uid="{00000000-0005-0000-0000-000044010000}"/>
    <cellStyle name="Moeda 2 2 6 2" xfId="325" xr:uid="{00000000-0005-0000-0000-000045010000}"/>
    <cellStyle name="Moeda 2 2 7" xfId="326" xr:uid="{00000000-0005-0000-0000-000046010000}"/>
    <cellStyle name="Moeda 2 2 7 2" xfId="327" xr:uid="{00000000-0005-0000-0000-000047010000}"/>
    <cellStyle name="Moeda 2 2 8" xfId="328" xr:uid="{00000000-0005-0000-0000-000048010000}"/>
    <cellStyle name="Moeda 2 2 8 2" xfId="329" xr:uid="{00000000-0005-0000-0000-000049010000}"/>
    <cellStyle name="Moeda 2 2 9" xfId="330" xr:uid="{00000000-0005-0000-0000-00004A010000}"/>
    <cellStyle name="Moeda 2 2 9 2" xfId="331" xr:uid="{00000000-0005-0000-0000-00004B010000}"/>
    <cellStyle name="Moeda 2 20" xfId="332" xr:uid="{00000000-0005-0000-0000-00004C010000}"/>
    <cellStyle name="Moeda 2 20 2" xfId="333" xr:uid="{00000000-0005-0000-0000-00004D010000}"/>
    <cellStyle name="Moeda 2 21" xfId="334" xr:uid="{00000000-0005-0000-0000-00004E010000}"/>
    <cellStyle name="Moeda 2 22" xfId="335" xr:uid="{00000000-0005-0000-0000-00004F010000}"/>
    <cellStyle name="Moeda 2 3" xfId="336" xr:uid="{00000000-0005-0000-0000-000050010000}"/>
    <cellStyle name="Moeda 2 3 10" xfId="337" xr:uid="{00000000-0005-0000-0000-000051010000}"/>
    <cellStyle name="Moeda 2 3 10 2" xfId="338" xr:uid="{00000000-0005-0000-0000-000052010000}"/>
    <cellStyle name="Moeda 2 3 11" xfId="339" xr:uid="{00000000-0005-0000-0000-000053010000}"/>
    <cellStyle name="Moeda 2 3 2" xfId="340" xr:uid="{00000000-0005-0000-0000-000054010000}"/>
    <cellStyle name="Moeda 2 3 2 2" xfId="341" xr:uid="{00000000-0005-0000-0000-000055010000}"/>
    <cellStyle name="Moeda 2 3 3" xfId="342" xr:uid="{00000000-0005-0000-0000-000056010000}"/>
    <cellStyle name="Moeda 2 3 3 2" xfId="343" xr:uid="{00000000-0005-0000-0000-000057010000}"/>
    <cellStyle name="Moeda 2 3 4" xfId="344" xr:uid="{00000000-0005-0000-0000-000058010000}"/>
    <cellStyle name="Moeda 2 3 4 2" xfId="345" xr:uid="{00000000-0005-0000-0000-000059010000}"/>
    <cellStyle name="Moeda 2 3 5" xfId="346" xr:uid="{00000000-0005-0000-0000-00005A010000}"/>
    <cellStyle name="Moeda 2 3 5 2" xfId="347" xr:uid="{00000000-0005-0000-0000-00005B010000}"/>
    <cellStyle name="Moeda 2 3 6" xfId="348" xr:uid="{00000000-0005-0000-0000-00005C010000}"/>
    <cellStyle name="Moeda 2 3 6 2" xfId="349" xr:uid="{00000000-0005-0000-0000-00005D010000}"/>
    <cellStyle name="Moeda 2 3 7" xfId="350" xr:uid="{00000000-0005-0000-0000-00005E010000}"/>
    <cellStyle name="Moeda 2 3 7 2" xfId="351" xr:uid="{00000000-0005-0000-0000-00005F010000}"/>
    <cellStyle name="Moeda 2 3 8" xfId="352" xr:uid="{00000000-0005-0000-0000-000060010000}"/>
    <cellStyle name="Moeda 2 3 8 2" xfId="353" xr:uid="{00000000-0005-0000-0000-000061010000}"/>
    <cellStyle name="Moeda 2 3 9" xfId="354" xr:uid="{00000000-0005-0000-0000-000062010000}"/>
    <cellStyle name="Moeda 2 3 9 2" xfId="355" xr:uid="{00000000-0005-0000-0000-000063010000}"/>
    <cellStyle name="Moeda 2 4" xfId="356" xr:uid="{00000000-0005-0000-0000-000064010000}"/>
    <cellStyle name="Moeda 2 4 2" xfId="357" xr:uid="{00000000-0005-0000-0000-000065010000}"/>
    <cellStyle name="Moeda 2 5" xfId="358" xr:uid="{00000000-0005-0000-0000-000066010000}"/>
    <cellStyle name="Moeda 2 5 2" xfId="359" xr:uid="{00000000-0005-0000-0000-000067010000}"/>
    <cellStyle name="Moeda 2 6" xfId="360" xr:uid="{00000000-0005-0000-0000-000068010000}"/>
    <cellStyle name="Moeda 2 6 2" xfId="361" xr:uid="{00000000-0005-0000-0000-000069010000}"/>
    <cellStyle name="Moeda 2 7" xfId="362" xr:uid="{00000000-0005-0000-0000-00006A010000}"/>
    <cellStyle name="Moeda 2 7 2" xfId="363" xr:uid="{00000000-0005-0000-0000-00006B010000}"/>
    <cellStyle name="Moeda 2 8" xfId="364" xr:uid="{00000000-0005-0000-0000-00006C010000}"/>
    <cellStyle name="Moeda 2 8 2" xfId="365" xr:uid="{00000000-0005-0000-0000-00006D010000}"/>
    <cellStyle name="Moeda 2 9" xfId="366" xr:uid="{00000000-0005-0000-0000-00006E010000}"/>
    <cellStyle name="Moeda 2 9 2" xfId="367" xr:uid="{00000000-0005-0000-0000-00006F010000}"/>
    <cellStyle name="Moeda 3" xfId="368" xr:uid="{00000000-0005-0000-0000-000070010000}"/>
    <cellStyle name="Moeda 3 10" xfId="369" xr:uid="{00000000-0005-0000-0000-000071010000}"/>
    <cellStyle name="Moeda 3 10 2" xfId="370" xr:uid="{00000000-0005-0000-0000-000072010000}"/>
    <cellStyle name="Moeda 3 11" xfId="371" xr:uid="{00000000-0005-0000-0000-000073010000}"/>
    <cellStyle name="Moeda 3 11 2" xfId="372" xr:uid="{00000000-0005-0000-0000-000074010000}"/>
    <cellStyle name="Moeda 3 12" xfId="373" xr:uid="{00000000-0005-0000-0000-000075010000}"/>
    <cellStyle name="Moeda 3 12 2" xfId="374" xr:uid="{00000000-0005-0000-0000-000076010000}"/>
    <cellStyle name="Moeda 3 13" xfId="375" xr:uid="{00000000-0005-0000-0000-000077010000}"/>
    <cellStyle name="Moeda 3 14" xfId="376" xr:uid="{00000000-0005-0000-0000-000078010000}"/>
    <cellStyle name="Moeda 3 2" xfId="377" xr:uid="{00000000-0005-0000-0000-000079010000}"/>
    <cellStyle name="Moeda 3 2 10" xfId="378" xr:uid="{00000000-0005-0000-0000-00007A010000}"/>
    <cellStyle name="Moeda 3 2 10 2" xfId="379" xr:uid="{00000000-0005-0000-0000-00007B010000}"/>
    <cellStyle name="Moeda 3 2 11" xfId="380" xr:uid="{00000000-0005-0000-0000-00007C010000}"/>
    <cellStyle name="Moeda 3 2 12" xfId="381" xr:uid="{00000000-0005-0000-0000-00007D010000}"/>
    <cellStyle name="Moeda 3 2 2" xfId="382" xr:uid="{00000000-0005-0000-0000-00007E010000}"/>
    <cellStyle name="Moeda 3 2 2 2" xfId="383" xr:uid="{00000000-0005-0000-0000-00007F010000}"/>
    <cellStyle name="Moeda 3 2 3" xfId="384" xr:uid="{00000000-0005-0000-0000-000080010000}"/>
    <cellStyle name="Moeda 3 2 3 2" xfId="385" xr:uid="{00000000-0005-0000-0000-000081010000}"/>
    <cellStyle name="Moeda 3 2 4" xfId="386" xr:uid="{00000000-0005-0000-0000-000082010000}"/>
    <cellStyle name="Moeda 3 2 4 2" xfId="387" xr:uid="{00000000-0005-0000-0000-000083010000}"/>
    <cellStyle name="Moeda 3 2 5" xfId="388" xr:uid="{00000000-0005-0000-0000-000084010000}"/>
    <cellStyle name="Moeda 3 2 5 2" xfId="389" xr:uid="{00000000-0005-0000-0000-000085010000}"/>
    <cellStyle name="Moeda 3 2 6" xfId="390" xr:uid="{00000000-0005-0000-0000-000086010000}"/>
    <cellStyle name="Moeda 3 2 6 2" xfId="391" xr:uid="{00000000-0005-0000-0000-000087010000}"/>
    <cellStyle name="Moeda 3 2 7" xfId="392" xr:uid="{00000000-0005-0000-0000-000088010000}"/>
    <cellStyle name="Moeda 3 2 7 2" xfId="393" xr:uid="{00000000-0005-0000-0000-000089010000}"/>
    <cellStyle name="Moeda 3 2 8" xfId="394" xr:uid="{00000000-0005-0000-0000-00008A010000}"/>
    <cellStyle name="Moeda 3 2 8 2" xfId="395" xr:uid="{00000000-0005-0000-0000-00008B010000}"/>
    <cellStyle name="Moeda 3 2 9" xfId="396" xr:uid="{00000000-0005-0000-0000-00008C010000}"/>
    <cellStyle name="Moeda 3 2 9 2" xfId="397" xr:uid="{00000000-0005-0000-0000-00008D010000}"/>
    <cellStyle name="Moeda 3 3" xfId="398" xr:uid="{00000000-0005-0000-0000-00008E010000}"/>
    <cellStyle name="Moeda 3 3 10" xfId="399" xr:uid="{00000000-0005-0000-0000-00008F010000}"/>
    <cellStyle name="Moeda 3 3 10 2" xfId="400" xr:uid="{00000000-0005-0000-0000-000090010000}"/>
    <cellStyle name="Moeda 3 3 11" xfId="401" xr:uid="{00000000-0005-0000-0000-000091010000}"/>
    <cellStyle name="Moeda 3 3 2" xfId="402" xr:uid="{00000000-0005-0000-0000-000092010000}"/>
    <cellStyle name="Moeda 3 3 2 2" xfId="403" xr:uid="{00000000-0005-0000-0000-000093010000}"/>
    <cellStyle name="Moeda 3 3 3" xfId="404" xr:uid="{00000000-0005-0000-0000-000094010000}"/>
    <cellStyle name="Moeda 3 3 3 2" xfId="405" xr:uid="{00000000-0005-0000-0000-000095010000}"/>
    <cellStyle name="Moeda 3 3 4" xfId="406" xr:uid="{00000000-0005-0000-0000-000096010000}"/>
    <cellStyle name="Moeda 3 3 4 2" xfId="407" xr:uid="{00000000-0005-0000-0000-000097010000}"/>
    <cellStyle name="Moeda 3 3 5" xfId="408" xr:uid="{00000000-0005-0000-0000-000098010000}"/>
    <cellStyle name="Moeda 3 3 5 2" xfId="409" xr:uid="{00000000-0005-0000-0000-000099010000}"/>
    <cellStyle name="Moeda 3 3 6" xfId="410" xr:uid="{00000000-0005-0000-0000-00009A010000}"/>
    <cellStyle name="Moeda 3 3 6 2" xfId="411" xr:uid="{00000000-0005-0000-0000-00009B010000}"/>
    <cellStyle name="Moeda 3 3 7" xfId="412" xr:uid="{00000000-0005-0000-0000-00009C010000}"/>
    <cellStyle name="Moeda 3 3 7 2" xfId="413" xr:uid="{00000000-0005-0000-0000-00009D010000}"/>
    <cellStyle name="Moeda 3 3 8" xfId="414" xr:uid="{00000000-0005-0000-0000-00009E010000}"/>
    <cellStyle name="Moeda 3 3 8 2" xfId="415" xr:uid="{00000000-0005-0000-0000-00009F010000}"/>
    <cellStyle name="Moeda 3 3 9" xfId="416" xr:uid="{00000000-0005-0000-0000-0000A0010000}"/>
    <cellStyle name="Moeda 3 3 9 2" xfId="417" xr:uid="{00000000-0005-0000-0000-0000A1010000}"/>
    <cellStyle name="Moeda 3 4" xfId="418" xr:uid="{00000000-0005-0000-0000-0000A2010000}"/>
    <cellStyle name="Moeda 3 4 2" xfId="419" xr:uid="{00000000-0005-0000-0000-0000A3010000}"/>
    <cellStyle name="Moeda 3 5" xfId="420" xr:uid="{00000000-0005-0000-0000-0000A4010000}"/>
    <cellStyle name="Moeda 3 5 2" xfId="421" xr:uid="{00000000-0005-0000-0000-0000A5010000}"/>
    <cellStyle name="Moeda 3 6" xfId="422" xr:uid="{00000000-0005-0000-0000-0000A6010000}"/>
    <cellStyle name="Moeda 3 6 2" xfId="423" xr:uid="{00000000-0005-0000-0000-0000A7010000}"/>
    <cellStyle name="Moeda 3 7" xfId="424" xr:uid="{00000000-0005-0000-0000-0000A8010000}"/>
    <cellStyle name="Moeda 3 7 2" xfId="425" xr:uid="{00000000-0005-0000-0000-0000A9010000}"/>
    <cellStyle name="Moeda 3 8" xfId="426" xr:uid="{00000000-0005-0000-0000-0000AA010000}"/>
    <cellStyle name="Moeda 3 8 2" xfId="427" xr:uid="{00000000-0005-0000-0000-0000AB010000}"/>
    <cellStyle name="Moeda 3 9" xfId="428" xr:uid="{00000000-0005-0000-0000-0000AC010000}"/>
    <cellStyle name="Moeda 3 9 2" xfId="429" xr:uid="{00000000-0005-0000-0000-0000AD010000}"/>
    <cellStyle name="Moeda 4" xfId="430" xr:uid="{00000000-0005-0000-0000-0000AE010000}"/>
    <cellStyle name="Moeda 4 2" xfId="431" xr:uid="{00000000-0005-0000-0000-0000AF010000}"/>
    <cellStyle name="Moeda 5" xfId="432" xr:uid="{00000000-0005-0000-0000-0000B0010000}"/>
    <cellStyle name="Moeda 5 2" xfId="433" xr:uid="{00000000-0005-0000-0000-0000B1010000}"/>
    <cellStyle name="Moeda 6" xfId="434" xr:uid="{00000000-0005-0000-0000-0000B2010000}"/>
    <cellStyle name="Moeda 6 2" xfId="435" xr:uid="{00000000-0005-0000-0000-0000B3010000}"/>
    <cellStyle name="Moeda 6 2 2" xfId="436" xr:uid="{00000000-0005-0000-0000-0000B4010000}"/>
    <cellStyle name="Moeda 6 3" xfId="437" xr:uid="{00000000-0005-0000-0000-0000B5010000}"/>
    <cellStyle name="Moeda 7" xfId="438" xr:uid="{00000000-0005-0000-0000-0000B6010000}"/>
    <cellStyle name="Moeda 7 2" xfId="439" xr:uid="{00000000-0005-0000-0000-0000B7010000}"/>
    <cellStyle name="Moeda 7 2 2" xfId="440" xr:uid="{00000000-0005-0000-0000-0000B8010000}"/>
    <cellStyle name="Moeda 7 3" xfId="441" xr:uid="{00000000-0005-0000-0000-0000B9010000}"/>
    <cellStyle name="Moeda 7 4" xfId="442" xr:uid="{00000000-0005-0000-0000-0000BA010000}"/>
    <cellStyle name="Moeda 7 4 2" xfId="443" xr:uid="{00000000-0005-0000-0000-0000BB010000}"/>
    <cellStyle name="Moeda 7 4 2 2" xfId="444" xr:uid="{00000000-0005-0000-0000-0000BC010000}"/>
    <cellStyle name="Moeda 7 4 2 2 2" xfId="445" xr:uid="{00000000-0005-0000-0000-0000BD010000}"/>
    <cellStyle name="Moeda 7 4 3" xfId="446" xr:uid="{00000000-0005-0000-0000-0000BE010000}"/>
    <cellStyle name="Moeda 8" xfId="447" xr:uid="{00000000-0005-0000-0000-0000BF010000}"/>
    <cellStyle name="Moeda 8 2" xfId="448" xr:uid="{00000000-0005-0000-0000-0000C0010000}"/>
    <cellStyle name="Moeda 8 2 2" xfId="449" xr:uid="{00000000-0005-0000-0000-0000C1010000}"/>
    <cellStyle name="Moeda 8 3" xfId="450" xr:uid="{00000000-0005-0000-0000-0000C2010000}"/>
    <cellStyle name="Moeda 8 4" xfId="451" xr:uid="{00000000-0005-0000-0000-0000C3010000}"/>
    <cellStyle name="Moeda 8 4 2" xfId="452" xr:uid="{00000000-0005-0000-0000-0000C4010000}"/>
    <cellStyle name="Moeda 8 4 2 2" xfId="453" xr:uid="{00000000-0005-0000-0000-0000C5010000}"/>
    <cellStyle name="Moeda 8 4 2 2 2" xfId="454" xr:uid="{00000000-0005-0000-0000-0000C6010000}"/>
    <cellStyle name="Moeda 8 4 3" xfId="455" xr:uid="{00000000-0005-0000-0000-0000C7010000}"/>
    <cellStyle name="Moeda 9" xfId="456" xr:uid="{00000000-0005-0000-0000-0000C8010000}"/>
    <cellStyle name="Moeda 9 2" xfId="457" xr:uid="{00000000-0005-0000-0000-0000C9010000}"/>
    <cellStyle name="Moeda 9 3" xfId="458" xr:uid="{00000000-0005-0000-0000-0000CA010000}"/>
    <cellStyle name="Neutra 2" xfId="459" xr:uid="{00000000-0005-0000-0000-0000CC010000}"/>
    <cellStyle name="Neutra 2 2" xfId="460" xr:uid="{00000000-0005-0000-0000-0000CD010000}"/>
    <cellStyle name="Neutra 2 3" xfId="461" xr:uid="{00000000-0005-0000-0000-0000CE010000}"/>
    <cellStyle name="Neutra 2 4" xfId="462" xr:uid="{00000000-0005-0000-0000-0000CF010000}"/>
    <cellStyle name="Neutral" xfId="463" xr:uid="{00000000-0005-0000-0000-0000D0010000}"/>
    <cellStyle name="Neutro" xfId="464" builtinId="28" customBuiltin="1"/>
    <cellStyle name="Normal" xfId="0" builtinId="0"/>
    <cellStyle name="Normal 10" xfId="465" xr:uid="{00000000-0005-0000-0000-0000D2010000}"/>
    <cellStyle name="Normal 10 2" xfId="466" xr:uid="{00000000-0005-0000-0000-0000D3010000}"/>
    <cellStyle name="Normal 10 2 2" xfId="467" xr:uid="{00000000-0005-0000-0000-0000D4010000}"/>
    <cellStyle name="Normal 10 3" xfId="468" xr:uid="{00000000-0005-0000-0000-0000D5010000}"/>
    <cellStyle name="Normal 11" xfId="469" xr:uid="{00000000-0005-0000-0000-0000D6010000}"/>
    <cellStyle name="Normal 11 2" xfId="470" xr:uid="{00000000-0005-0000-0000-0000D7010000}"/>
    <cellStyle name="Normal 12" xfId="471" xr:uid="{00000000-0005-0000-0000-0000D8010000}"/>
    <cellStyle name="Normal 12 2" xfId="472" xr:uid="{00000000-0005-0000-0000-0000D9010000}"/>
    <cellStyle name="Normal 13" xfId="473" xr:uid="{00000000-0005-0000-0000-0000DA010000}"/>
    <cellStyle name="Normal 13 2" xfId="474" xr:uid="{00000000-0005-0000-0000-0000DB010000}"/>
    <cellStyle name="Normal 14" xfId="475" xr:uid="{00000000-0005-0000-0000-0000DC010000}"/>
    <cellStyle name="Normal 14 2" xfId="476" xr:uid="{00000000-0005-0000-0000-0000DD010000}"/>
    <cellStyle name="Normal 15" xfId="477" xr:uid="{00000000-0005-0000-0000-0000DE010000}"/>
    <cellStyle name="Normal 16" xfId="478" xr:uid="{00000000-0005-0000-0000-0000DF010000}"/>
    <cellStyle name="Normal 16 10" xfId="479" xr:uid="{00000000-0005-0000-0000-0000E0010000}"/>
    <cellStyle name="Normal 16 11" xfId="480" xr:uid="{00000000-0005-0000-0000-0000E1010000}"/>
    <cellStyle name="Normal 16 12" xfId="481" xr:uid="{00000000-0005-0000-0000-0000E2010000}"/>
    <cellStyle name="Normal 16 13" xfId="482" xr:uid="{00000000-0005-0000-0000-0000E3010000}"/>
    <cellStyle name="Normal 16 14" xfId="483" xr:uid="{00000000-0005-0000-0000-0000E4010000}"/>
    <cellStyle name="Normal 16 15" xfId="484" xr:uid="{00000000-0005-0000-0000-0000E5010000}"/>
    <cellStyle name="Normal 16 16" xfId="485" xr:uid="{00000000-0005-0000-0000-0000E6010000}"/>
    <cellStyle name="Normal 16 17" xfId="486" xr:uid="{00000000-0005-0000-0000-0000E7010000}"/>
    <cellStyle name="Normal 16 18" xfId="487" xr:uid="{00000000-0005-0000-0000-0000E8010000}"/>
    <cellStyle name="Normal 16 19" xfId="488" xr:uid="{00000000-0005-0000-0000-0000E9010000}"/>
    <cellStyle name="Normal 16 2" xfId="489" xr:uid="{00000000-0005-0000-0000-0000EA010000}"/>
    <cellStyle name="Normal 16 20" xfId="490" xr:uid="{00000000-0005-0000-0000-0000EB010000}"/>
    <cellStyle name="Normal 16 21" xfId="491" xr:uid="{00000000-0005-0000-0000-0000EC010000}"/>
    <cellStyle name="Normal 16 22" xfId="492" xr:uid="{00000000-0005-0000-0000-0000ED010000}"/>
    <cellStyle name="Normal 16 23" xfId="493" xr:uid="{00000000-0005-0000-0000-0000EE010000}"/>
    <cellStyle name="Normal 16 24" xfId="494" xr:uid="{00000000-0005-0000-0000-0000EF010000}"/>
    <cellStyle name="Normal 16 25" xfId="495" xr:uid="{00000000-0005-0000-0000-0000F0010000}"/>
    <cellStyle name="Normal 16 26" xfId="496" xr:uid="{00000000-0005-0000-0000-0000F1010000}"/>
    <cellStyle name="Normal 16 27" xfId="497" xr:uid="{00000000-0005-0000-0000-0000F2010000}"/>
    <cellStyle name="Normal 16 28" xfId="498" xr:uid="{00000000-0005-0000-0000-0000F3010000}"/>
    <cellStyle name="Normal 16 29" xfId="499" xr:uid="{00000000-0005-0000-0000-0000F4010000}"/>
    <cellStyle name="Normal 16 3" xfId="500" xr:uid="{00000000-0005-0000-0000-0000F5010000}"/>
    <cellStyle name="Normal 16 30" xfId="501" xr:uid="{00000000-0005-0000-0000-0000F6010000}"/>
    <cellStyle name="Normal 16 31" xfId="502" xr:uid="{00000000-0005-0000-0000-0000F7010000}"/>
    <cellStyle name="Normal 16 32" xfId="503" xr:uid="{00000000-0005-0000-0000-0000F8010000}"/>
    <cellStyle name="Normal 16 33" xfId="504" xr:uid="{00000000-0005-0000-0000-0000F9010000}"/>
    <cellStyle name="Normal 16 34" xfId="505" xr:uid="{00000000-0005-0000-0000-0000FA010000}"/>
    <cellStyle name="Normal 16 35" xfId="506" xr:uid="{00000000-0005-0000-0000-0000FB010000}"/>
    <cellStyle name="Normal 16 36" xfId="507" xr:uid="{00000000-0005-0000-0000-0000FC010000}"/>
    <cellStyle name="Normal 16 37" xfId="508" xr:uid="{00000000-0005-0000-0000-0000FD010000}"/>
    <cellStyle name="Normal 16 38" xfId="509" xr:uid="{00000000-0005-0000-0000-0000FE010000}"/>
    <cellStyle name="Normal 16 39" xfId="510" xr:uid="{00000000-0005-0000-0000-0000FF010000}"/>
    <cellStyle name="Normal 16 4" xfId="511" xr:uid="{00000000-0005-0000-0000-000000020000}"/>
    <cellStyle name="Normal 16 5" xfId="512" xr:uid="{00000000-0005-0000-0000-000001020000}"/>
    <cellStyle name="Normal 16 6" xfId="513" xr:uid="{00000000-0005-0000-0000-000002020000}"/>
    <cellStyle name="Normal 16 7" xfId="514" xr:uid="{00000000-0005-0000-0000-000003020000}"/>
    <cellStyle name="Normal 16 8" xfId="515" xr:uid="{00000000-0005-0000-0000-000004020000}"/>
    <cellStyle name="Normal 16 9" xfId="516" xr:uid="{00000000-0005-0000-0000-000005020000}"/>
    <cellStyle name="Normal 16_CAB-COMP" xfId="517" xr:uid="{00000000-0005-0000-0000-000006020000}"/>
    <cellStyle name="Normal 17" xfId="518" xr:uid="{00000000-0005-0000-0000-000007020000}"/>
    <cellStyle name="Normal 17 2" xfId="519" xr:uid="{00000000-0005-0000-0000-000008020000}"/>
    <cellStyle name="Normal 18" xfId="520" xr:uid="{00000000-0005-0000-0000-000009020000}"/>
    <cellStyle name="Normal 18 2" xfId="521" xr:uid="{00000000-0005-0000-0000-00000A020000}"/>
    <cellStyle name="Normal 19" xfId="522" xr:uid="{00000000-0005-0000-0000-00000B020000}"/>
    <cellStyle name="Normal 19 10" xfId="523" xr:uid="{00000000-0005-0000-0000-00000C020000}"/>
    <cellStyle name="Normal 19 11" xfId="524" xr:uid="{00000000-0005-0000-0000-00000D020000}"/>
    <cellStyle name="Normal 19 12" xfId="525" xr:uid="{00000000-0005-0000-0000-00000E020000}"/>
    <cellStyle name="Normal 19 13" xfId="526" xr:uid="{00000000-0005-0000-0000-00000F020000}"/>
    <cellStyle name="Normal 19 14" xfId="527" xr:uid="{00000000-0005-0000-0000-000010020000}"/>
    <cellStyle name="Normal 19 15" xfId="528" xr:uid="{00000000-0005-0000-0000-000011020000}"/>
    <cellStyle name="Normal 19 16" xfId="529" xr:uid="{00000000-0005-0000-0000-000012020000}"/>
    <cellStyle name="Normal 19 17" xfId="530" xr:uid="{00000000-0005-0000-0000-000013020000}"/>
    <cellStyle name="Normal 19 18" xfId="531" xr:uid="{00000000-0005-0000-0000-000014020000}"/>
    <cellStyle name="Normal 19 19" xfId="532" xr:uid="{00000000-0005-0000-0000-000015020000}"/>
    <cellStyle name="Normal 19 2" xfId="533" xr:uid="{00000000-0005-0000-0000-000016020000}"/>
    <cellStyle name="Normal 19 20" xfId="534" xr:uid="{00000000-0005-0000-0000-000017020000}"/>
    <cellStyle name="Normal 19 21" xfId="535" xr:uid="{00000000-0005-0000-0000-000018020000}"/>
    <cellStyle name="Normal 19 22" xfId="536" xr:uid="{00000000-0005-0000-0000-000019020000}"/>
    <cellStyle name="Normal 19 23" xfId="537" xr:uid="{00000000-0005-0000-0000-00001A020000}"/>
    <cellStyle name="Normal 19 24" xfId="538" xr:uid="{00000000-0005-0000-0000-00001B020000}"/>
    <cellStyle name="Normal 19 25" xfId="539" xr:uid="{00000000-0005-0000-0000-00001C020000}"/>
    <cellStyle name="Normal 19 26" xfId="540" xr:uid="{00000000-0005-0000-0000-00001D020000}"/>
    <cellStyle name="Normal 19 27" xfId="541" xr:uid="{00000000-0005-0000-0000-00001E020000}"/>
    <cellStyle name="Normal 19 28" xfId="542" xr:uid="{00000000-0005-0000-0000-00001F020000}"/>
    <cellStyle name="Normal 19 29" xfId="543" xr:uid="{00000000-0005-0000-0000-000020020000}"/>
    <cellStyle name="Normal 19 3" xfId="544" xr:uid="{00000000-0005-0000-0000-000021020000}"/>
    <cellStyle name="Normal 19 30" xfId="545" xr:uid="{00000000-0005-0000-0000-000022020000}"/>
    <cellStyle name="Normal 19 31" xfId="546" xr:uid="{00000000-0005-0000-0000-000023020000}"/>
    <cellStyle name="Normal 19 32" xfId="547" xr:uid="{00000000-0005-0000-0000-000024020000}"/>
    <cellStyle name="Normal 19 33" xfId="548" xr:uid="{00000000-0005-0000-0000-000025020000}"/>
    <cellStyle name="Normal 19 34" xfId="549" xr:uid="{00000000-0005-0000-0000-000026020000}"/>
    <cellStyle name="Normal 19 35" xfId="550" xr:uid="{00000000-0005-0000-0000-000027020000}"/>
    <cellStyle name="Normal 19 36" xfId="551" xr:uid="{00000000-0005-0000-0000-000028020000}"/>
    <cellStyle name="Normal 19 37" xfId="552" xr:uid="{00000000-0005-0000-0000-000029020000}"/>
    <cellStyle name="Normal 19 38" xfId="553" xr:uid="{00000000-0005-0000-0000-00002A020000}"/>
    <cellStyle name="Normal 19 4" xfId="554" xr:uid="{00000000-0005-0000-0000-00002B020000}"/>
    <cellStyle name="Normal 19 5" xfId="555" xr:uid="{00000000-0005-0000-0000-00002C020000}"/>
    <cellStyle name="Normal 19 6" xfId="556" xr:uid="{00000000-0005-0000-0000-00002D020000}"/>
    <cellStyle name="Normal 19 7" xfId="557" xr:uid="{00000000-0005-0000-0000-00002E020000}"/>
    <cellStyle name="Normal 19 8" xfId="558" xr:uid="{00000000-0005-0000-0000-00002F020000}"/>
    <cellStyle name="Normal 19 9" xfId="559" xr:uid="{00000000-0005-0000-0000-000030020000}"/>
    <cellStyle name="Normal 19_CAB-COMP" xfId="560" xr:uid="{00000000-0005-0000-0000-000031020000}"/>
    <cellStyle name="Normal 2" xfId="561" xr:uid="{00000000-0005-0000-0000-000032020000}"/>
    <cellStyle name="Normal 2 10" xfId="562" xr:uid="{00000000-0005-0000-0000-000033020000}"/>
    <cellStyle name="Normal 2 10 2" xfId="563" xr:uid="{00000000-0005-0000-0000-000034020000}"/>
    <cellStyle name="Normal 2 11" xfId="564" xr:uid="{00000000-0005-0000-0000-000035020000}"/>
    <cellStyle name="Normal 2 11 2" xfId="565" xr:uid="{00000000-0005-0000-0000-000036020000}"/>
    <cellStyle name="Normal 2 12" xfId="566" xr:uid="{00000000-0005-0000-0000-000037020000}"/>
    <cellStyle name="Normal 2 12 2" xfId="567" xr:uid="{00000000-0005-0000-0000-000038020000}"/>
    <cellStyle name="Normal 2 13" xfId="568" xr:uid="{00000000-0005-0000-0000-000039020000}"/>
    <cellStyle name="Normal 2 13 2" xfId="569" xr:uid="{00000000-0005-0000-0000-00003A020000}"/>
    <cellStyle name="Normal 2 14" xfId="570" xr:uid="{00000000-0005-0000-0000-00003B020000}"/>
    <cellStyle name="Normal 2 14 2" xfId="571" xr:uid="{00000000-0005-0000-0000-00003C020000}"/>
    <cellStyle name="Normal 2 15" xfId="572" xr:uid="{00000000-0005-0000-0000-00003D020000}"/>
    <cellStyle name="Normal 2 15 2" xfId="573" xr:uid="{00000000-0005-0000-0000-00003E020000}"/>
    <cellStyle name="Normal 2 16" xfId="574" xr:uid="{00000000-0005-0000-0000-00003F020000}"/>
    <cellStyle name="Normal 2 16 2" xfId="575" xr:uid="{00000000-0005-0000-0000-000040020000}"/>
    <cellStyle name="Normal 2 17" xfId="576" xr:uid="{00000000-0005-0000-0000-000041020000}"/>
    <cellStyle name="Normal 2 17 2" xfId="577" xr:uid="{00000000-0005-0000-0000-000042020000}"/>
    <cellStyle name="Normal 2 18" xfId="578" xr:uid="{00000000-0005-0000-0000-000043020000}"/>
    <cellStyle name="Normal 2 18 2" xfId="579" xr:uid="{00000000-0005-0000-0000-000044020000}"/>
    <cellStyle name="Normal 2 19" xfId="580" xr:uid="{00000000-0005-0000-0000-000045020000}"/>
    <cellStyle name="Normal 2 19 2" xfId="581" xr:uid="{00000000-0005-0000-0000-000046020000}"/>
    <cellStyle name="Normal 2 2" xfId="582" xr:uid="{00000000-0005-0000-0000-000047020000}"/>
    <cellStyle name="Normal 2 2 2" xfId="583" xr:uid="{00000000-0005-0000-0000-000048020000}"/>
    <cellStyle name="Normal 2 2 2 2" xfId="584" xr:uid="{00000000-0005-0000-0000-000049020000}"/>
    <cellStyle name="Normal 2 2 3" xfId="585" xr:uid="{00000000-0005-0000-0000-00004A020000}"/>
    <cellStyle name="Normal 2 2 3 2" xfId="586" xr:uid="{00000000-0005-0000-0000-00004B020000}"/>
    <cellStyle name="Normal 2 2 4" xfId="587" xr:uid="{00000000-0005-0000-0000-00004C020000}"/>
    <cellStyle name="Normal 2 2 4 2" xfId="588" xr:uid="{00000000-0005-0000-0000-00004D020000}"/>
    <cellStyle name="Normal 2 2 5" xfId="589" xr:uid="{00000000-0005-0000-0000-00004E020000}"/>
    <cellStyle name="Normal 2 2 6" xfId="590" xr:uid="{00000000-0005-0000-0000-00004F020000}"/>
    <cellStyle name="Normal 2 20" xfId="591" xr:uid="{00000000-0005-0000-0000-000050020000}"/>
    <cellStyle name="Normal 2 20 2" xfId="592" xr:uid="{00000000-0005-0000-0000-000051020000}"/>
    <cellStyle name="Normal 2 21" xfId="593" xr:uid="{00000000-0005-0000-0000-000052020000}"/>
    <cellStyle name="Normal 2 21 2" xfId="594" xr:uid="{00000000-0005-0000-0000-000053020000}"/>
    <cellStyle name="Normal 2 22" xfId="595" xr:uid="{00000000-0005-0000-0000-000054020000}"/>
    <cellStyle name="Normal 2 3" xfId="596" xr:uid="{00000000-0005-0000-0000-000055020000}"/>
    <cellStyle name="Normal 2 3 2" xfId="597" xr:uid="{00000000-0005-0000-0000-000056020000}"/>
    <cellStyle name="Normal 2 4" xfId="598" xr:uid="{00000000-0005-0000-0000-000057020000}"/>
    <cellStyle name="Normal 2 4 2" xfId="599" xr:uid="{00000000-0005-0000-0000-000058020000}"/>
    <cellStyle name="Normal 2 5" xfId="600" xr:uid="{00000000-0005-0000-0000-000059020000}"/>
    <cellStyle name="Normal 2 5 10" xfId="601" xr:uid="{00000000-0005-0000-0000-00005A020000}"/>
    <cellStyle name="Normal 2 5 10 2" xfId="602" xr:uid="{00000000-0005-0000-0000-00005B020000}"/>
    <cellStyle name="Normal 2 5 11" xfId="603" xr:uid="{00000000-0005-0000-0000-00005C020000}"/>
    <cellStyle name="Normal 2 5 2" xfId="604" xr:uid="{00000000-0005-0000-0000-00005D020000}"/>
    <cellStyle name="Normal 2 5 2 2" xfId="605" xr:uid="{00000000-0005-0000-0000-00005E020000}"/>
    <cellStyle name="Normal 2 5 3" xfId="606" xr:uid="{00000000-0005-0000-0000-00005F020000}"/>
    <cellStyle name="Normal 2 5 3 2" xfId="607" xr:uid="{00000000-0005-0000-0000-000060020000}"/>
    <cellStyle name="Normal 2 5 4" xfId="608" xr:uid="{00000000-0005-0000-0000-000061020000}"/>
    <cellStyle name="Normal 2 5 4 2" xfId="609" xr:uid="{00000000-0005-0000-0000-000062020000}"/>
    <cellStyle name="Normal 2 5 5" xfId="610" xr:uid="{00000000-0005-0000-0000-000063020000}"/>
    <cellStyle name="Normal 2 5 5 2" xfId="611" xr:uid="{00000000-0005-0000-0000-000064020000}"/>
    <cellStyle name="Normal 2 5 6" xfId="612" xr:uid="{00000000-0005-0000-0000-000065020000}"/>
    <cellStyle name="Normal 2 5 6 2" xfId="613" xr:uid="{00000000-0005-0000-0000-000066020000}"/>
    <cellStyle name="Normal 2 5 7" xfId="614" xr:uid="{00000000-0005-0000-0000-000067020000}"/>
    <cellStyle name="Normal 2 5 7 2" xfId="615" xr:uid="{00000000-0005-0000-0000-000068020000}"/>
    <cellStyle name="Normal 2 5 8" xfId="616" xr:uid="{00000000-0005-0000-0000-000069020000}"/>
    <cellStyle name="Normal 2 5 8 2" xfId="617" xr:uid="{00000000-0005-0000-0000-00006A020000}"/>
    <cellStyle name="Normal 2 5 9" xfId="618" xr:uid="{00000000-0005-0000-0000-00006B020000}"/>
    <cellStyle name="Normal 2 5 9 2" xfId="619" xr:uid="{00000000-0005-0000-0000-00006C020000}"/>
    <cellStyle name="Normal 2 6" xfId="620" xr:uid="{00000000-0005-0000-0000-00006D020000}"/>
    <cellStyle name="Normal 2 6 2" xfId="621" xr:uid="{00000000-0005-0000-0000-00006E020000}"/>
    <cellStyle name="Normal 2 7" xfId="622" xr:uid="{00000000-0005-0000-0000-00006F020000}"/>
    <cellStyle name="Normal 2 7 2" xfId="623" xr:uid="{00000000-0005-0000-0000-000070020000}"/>
    <cellStyle name="Normal 2 8" xfId="624" xr:uid="{00000000-0005-0000-0000-000071020000}"/>
    <cellStyle name="Normal 2 8 2" xfId="625" xr:uid="{00000000-0005-0000-0000-000072020000}"/>
    <cellStyle name="Normal 2 9" xfId="626" xr:uid="{00000000-0005-0000-0000-000073020000}"/>
    <cellStyle name="Normal 2 9 2" xfId="627" xr:uid="{00000000-0005-0000-0000-000074020000}"/>
    <cellStyle name="Normal 2_cálculo" xfId="628" xr:uid="{00000000-0005-0000-0000-000075020000}"/>
    <cellStyle name="Normal 20" xfId="629" xr:uid="{00000000-0005-0000-0000-000076020000}"/>
    <cellStyle name="Normal 20 2" xfId="630" xr:uid="{00000000-0005-0000-0000-000077020000}"/>
    <cellStyle name="Normal 21" xfId="631" xr:uid="{00000000-0005-0000-0000-000078020000}"/>
    <cellStyle name="Normal 21 2" xfId="632" xr:uid="{00000000-0005-0000-0000-000079020000}"/>
    <cellStyle name="Normal 22" xfId="633" xr:uid="{00000000-0005-0000-0000-00007A020000}"/>
    <cellStyle name="Normal 22 2" xfId="634" xr:uid="{00000000-0005-0000-0000-00007B020000}"/>
    <cellStyle name="Normal 23" xfId="635" xr:uid="{00000000-0005-0000-0000-00007C020000}"/>
    <cellStyle name="Normal 23 2" xfId="636" xr:uid="{00000000-0005-0000-0000-00007D020000}"/>
    <cellStyle name="Normal 24" xfId="637" xr:uid="{00000000-0005-0000-0000-00007E020000}"/>
    <cellStyle name="Normal 24 2" xfId="638" xr:uid="{00000000-0005-0000-0000-00007F020000}"/>
    <cellStyle name="Normal 25" xfId="639" xr:uid="{00000000-0005-0000-0000-000080020000}"/>
    <cellStyle name="Normal 26" xfId="640" xr:uid="{00000000-0005-0000-0000-000081020000}"/>
    <cellStyle name="Normal 26 2" xfId="641" xr:uid="{00000000-0005-0000-0000-000082020000}"/>
    <cellStyle name="Normal 27" xfId="642" xr:uid="{00000000-0005-0000-0000-000083020000}"/>
    <cellStyle name="Normal 27 2" xfId="643" xr:uid="{00000000-0005-0000-0000-000084020000}"/>
    <cellStyle name="Normal 28" xfId="644" xr:uid="{00000000-0005-0000-0000-000085020000}"/>
    <cellStyle name="Normal 28 2" xfId="645" xr:uid="{00000000-0005-0000-0000-000086020000}"/>
    <cellStyle name="Normal 29" xfId="646" xr:uid="{00000000-0005-0000-0000-000087020000}"/>
    <cellStyle name="Normal 3" xfId="647" xr:uid="{00000000-0005-0000-0000-000088020000}"/>
    <cellStyle name="Normal 3 10" xfId="648" xr:uid="{00000000-0005-0000-0000-000089020000}"/>
    <cellStyle name="Normal 3 10 2" xfId="649" xr:uid="{00000000-0005-0000-0000-00008A020000}"/>
    <cellStyle name="Normal 3 11" xfId="650" xr:uid="{00000000-0005-0000-0000-00008B020000}"/>
    <cellStyle name="Normal 3 11 2" xfId="651" xr:uid="{00000000-0005-0000-0000-00008C020000}"/>
    <cellStyle name="Normal 3 12" xfId="652" xr:uid="{00000000-0005-0000-0000-00008D020000}"/>
    <cellStyle name="Normal 3 12 2" xfId="653" xr:uid="{00000000-0005-0000-0000-00008E020000}"/>
    <cellStyle name="Normal 3 12 2 2" xfId="654" xr:uid="{00000000-0005-0000-0000-00008F020000}"/>
    <cellStyle name="Normal 3 12 2 2 2" xfId="655" xr:uid="{00000000-0005-0000-0000-000090020000}"/>
    <cellStyle name="Normal 3 12 2 3" xfId="656" xr:uid="{00000000-0005-0000-0000-000091020000}"/>
    <cellStyle name="Normal 3 12 3" xfId="657" xr:uid="{00000000-0005-0000-0000-000092020000}"/>
    <cellStyle name="Normal 3 12 3 2" xfId="658" xr:uid="{00000000-0005-0000-0000-000093020000}"/>
    <cellStyle name="Normal 3 12 4" xfId="659" xr:uid="{00000000-0005-0000-0000-000094020000}"/>
    <cellStyle name="Normal 3 13" xfId="660" xr:uid="{00000000-0005-0000-0000-000095020000}"/>
    <cellStyle name="Normal 3 13 10" xfId="661" xr:uid="{00000000-0005-0000-0000-000096020000}"/>
    <cellStyle name="Normal 3 13 10 2" xfId="662" xr:uid="{00000000-0005-0000-0000-000097020000}"/>
    <cellStyle name="Normal 3 13 11" xfId="663" xr:uid="{00000000-0005-0000-0000-000098020000}"/>
    <cellStyle name="Normal 3 13 11 2" xfId="664" xr:uid="{00000000-0005-0000-0000-000099020000}"/>
    <cellStyle name="Normal 3 13 12" xfId="665" xr:uid="{00000000-0005-0000-0000-00009A020000}"/>
    <cellStyle name="Normal 3 13 12 2" xfId="666" xr:uid="{00000000-0005-0000-0000-00009B020000}"/>
    <cellStyle name="Normal 3 13 13" xfId="667" xr:uid="{00000000-0005-0000-0000-00009C020000}"/>
    <cellStyle name="Normal 3 13 13 2" xfId="668" xr:uid="{00000000-0005-0000-0000-00009D020000}"/>
    <cellStyle name="Normal 3 13 14" xfId="669" xr:uid="{00000000-0005-0000-0000-00009E020000}"/>
    <cellStyle name="Normal 3 13 14 2" xfId="670" xr:uid="{00000000-0005-0000-0000-00009F020000}"/>
    <cellStyle name="Normal 3 13 15" xfId="671" xr:uid="{00000000-0005-0000-0000-0000A0020000}"/>
    <cellStyle name="Normal 3 13 15 2" xfId="672" xr:uid="{00000000-0005-0000-0000-0000A1020000}"/>
    <cellStyle name="Normal 3 13 16" xfId="673" xr:uid="{00000000-0005-0000-0000-0000A2020000}"/>
    <cellStyle name="Normal 3 13 16 2" xfId="674" xr:uid="{00000000-0005-0000-0000-0000A3020000}"/>
    <cellStyle name="Normal 3 13 17" xfId="675" xr:uid="{00000000-0005-0000-0000-0000A4020000}"/>
    <cellStyle name="Normal 3 13 17 2" xfId="676" xr:uid="{00000000-0005-0000-0000-0000A5020000}"/>
    <cellStyle name="Normal 3 13 18" xfId="677" xr:uid="{00000000-0005-0000-0000-0000A6020000}"/>
    <cellStyle name="Normal 3 13 18 2" xfId="678" xr:uid="{00000000-0005-0000-0000-0000A7020000}"/>
    <cellStyle name="Normal 3 13 19" xfId="679" xr:uid="{00000000-0005-0000-0000-0000A8020000}"/>
    <cellStyle name="Normal 3 13 19 2" xfId="680" xr:uid="{00000000-0005-0000-0000-0000A9020000}"/>
    <cellStyle name="Normal 3 13 2" xfId="681" xr:uid="{00000000-0005-0000-0000-0000AA020000}"/>
    <cellStyle name="Normal 3 13 2 2" xfId="682" xr:uid="{00000000-0005-0000-0000-0000AB020000}"/>
    <cellStyle name="Normal 3 13 20" xfId="683" xr:uid="{00000000-0005-0000-0000-0000AC020000}"/>
    <cellStyle name="Normal 3 13 20 2" xfId="684" xr:uid="{00000000-0005-0000-0000-0000AD020000}"/>
    <cellStyle name="Normal 3 13 21" xfId="685" xr:uid="{00000000-0005-0000-0000-0000AE020000}"/>
    <cellStyle name="Normal 3 13 21 2" xfId="686" xr:uid="{00000000-0005-0000-0000-0000AF020000}"/>
    <cellStyle name="Normal 3 13 22" xfId="687" xr:uid="{00000000-0005-0000-0000-0000B0020000}"/>
    <cellStyle name="Normal 3 13 22 2" xfId="688" xr:uid="{00000000-0005-0000-0000-0000B1020000}"/>
    <cellStyle name="Normal 3 13 23" xfId="689" xr:uid="{00000000-0005-0000-0000-0000B2020000}"/>
    <cellStyle name="Normal 3 13 23 2" xfId="690" xr:uid="{00000000-0005-0000-0000-0000B3020000}"/>
    <cellStyle name="Normal 3 13 24" xfId="691" xr:uid="{00000000-0005-0000-0000-0000B4020000}"/>
    <cellStyle name="Normal 3 13 24 2" xfId="692" xr:uid="{00000000-0005-0000-0000-0000B5020000}"/>
    <cellStyle name="Normal 3 13 25" xfId="693" xr:uid="{00000000-0005-0000-0000-0000B6020000}"/>
    <cellStyle name="Normal 3 13 25 2" xfId="694" xr:uid="{00000000-0005-0000-0000-0000B7020000}"/>
    <cellStyle name="Normal 3 13 26" xfId="695" xr:uid="{00000000-0005-0000-0000-0000B8020000}"/>
    <cellStyle name="Normal 3 13 26 2" xfId="696" xr:uid="{00000000-0005-0000-0000-0000B9020000}"/>
    <cellStyle name="Normal 3 13 27" xfId="697" xr:uid="{00000000-0005-0000-0000-0000BA020000}"/>
    <cellStyle name="Normal 3 13 27 2" xfId="698" xr:uid="{00000000-0005-0000-0000-0000BB020000}"/>
    <cellStyle name="Normal 3 13 28" xfId="699" xr:uid="{00000000-0005-0000-0000-0000BC020000}"/>
    <cellStyle name="Normal 3 13 28 2" xfId="700" xr:uid="{00000000-0005-0000-0000-0000BD020000}"/>
    <cellStyle name="Normal 3 13 29" xfId="701" xr:uid="{00000000-0005-0000-0000-0000BE020000}"/>
    <cellStyle name="Normal 3 13 29 2" xfId="702" xr:uid="{00000000-0005-0000-0000-0000BF020000}"/>
    <cellStyle name="Normal 3 13 3" xfId="703" xr:uid="{00000000-0005-0000-0000-0000C0020000}"/>
    <cellStyle name="Normal 3 13 3 2" xfId="704" xr:uid="{00000000-0005-0000-0000-0000C1020000}"/>
    <cellStyle name="Normal 3 13 30" xfId="705" xr:uid="{00000000-0005-0000-0000-0000C2020000}"/>
    <cellStyle name="Normal 3 13 30 2" xfId="706" xr:uid="{00000000-0005-0000-0000-0000C3020000}"/>
    <cellStyle name="Normal 3 13 31" xfId="707" xr:uid="{00000000-0005-0000-0000-0000C4020000}"/>
    <cellStyle name="Normal 3 13 31 2" xfId="708" xr:uid="{00000000-0005-0000-0000-0000C5020000}"/>
    <cellStyle name="Normal 3 13 32" xfId="709" xr:uid="{00000000-0005-0000-0000-0000C6020000}"/>
    <cellStyle name="Normal 3 13 32 2" xfId="710" xr:uid="{00000000-0005-0000-0000-0000C7020000}"/>
    <cellStyle name="Normal 3 13 33" xfId="711" xr:uid="{00000000-0005-0000-0000-0000C8020000}"/>
    <cellStyle name="Normal 3 13 33 2" xfId="712" xr:uid="{00000000-0005-0000-0000-0000C9020000}"/>
    <cellStyle name="Normal 3 13 34" xfId="713" xr:uid="{00000000-0005-0000-0000-0000CA020000}"/>
    <cellStyle name="Normal 3 13 34 2" xfId="714" xr:uid="{00000000-0005-0000-0000-0000CB020000}"/>
    <cellStyle name="Normal 3 13 35" xfId="715" xr:uid="{00000000-0005-0000-0000-0000CC020000}"/>
    <cellStyle name="Normal 3 13 35 2" xfId="716" xr:uid="{00000000-0005-0000-0000-0000CD020000}"/>
    <cellStyle name="Normal 3 13 36" xfId="717" xr:uid="{00000000-0005-0000-0000-0000CE020000}"/>
    <cellStyle name="Normal 3 13 36 2" xfId="718" xr:uid="{00000000-0005-0000-0000-0000CF020000}"/>
    <cellStyle name="Normal 3 13 37" xfId="719" xr:uid="{00000000-0005-0000-0000-0000D0020000}"/>
    <cellStyle name="Normal 3 13 37 2" xfId="720" xr:uid="{00000000-0005-0000-0000-0000D1020000}"/>
    <cellStyle name="Normal 3 13 38" xfId="721" xr:uid="{00000000-0005-0000-0000-0000D2020000}"/>
    <cellStyle name="Normal 3 13 38 2" xfId="722" xr:uid="{00000000-0005-0000-0000-0000D3020000}"/>
    <cellStyle name="Normal 3 13 39" xfId="723" xr:uid="{00000000-0005-0000-0000-0000D4020000}"/>
    <cellStyle name="Normal 3 13 39 2" xfId="724" xr:uid="{00000000-0005-0000-0000-0000D5020000}"/>
    <cellStyle name="Normal 3 13 4" xfId="725" xr:uid="{00000000-0005-0000-0000-0000D6020000}"/>
    <cellStyle name="Normal 3 13 4 2" xfId="726" xr:uid="{00000000-0005-0000-0000-0000D7020000}"/>
    <cellStyle name="Normal 3 13 40" xfId="727" xr:uid="{00000000-0005-0000-0000-0000D8020000}"/>
    <cellStyle name="Normal 3 13 40 2" xfId="728" xr:uid="{00000000-0005-0000-0000-0000D9020000}"/>
    <cellStyle name="Normal 3 13 41" xfId="729" xr:uid="{00000000-0005-0000-0000-0000DA020000}"/>
    <cellStyle name="Normal 3 13 41 2" xfId="730" xr:uid="{00000000-0005-0000-0000-0000DB020000}"/>
    <cellStyle name="Normal 3 13 42" xfId="731" xr:uid="{00000000-0005-0000-0000-0000DC020000}"/>
    <cellStyle name="Normal 3 13 42 2" xfId="732" xr:uid="{00000000-0005-0000-0000-0000DD020000}"/>
    <cellStyle name="Normal 3 13 43" xfId="733" xr:uid="{00000000-0005-0000-0000-0000DE020000}"/>
    <cellStyle name="Normal 3 13 43 2" xfId="734" xr:uid="{00000000-0005-0000-0000-0000DF020000}"/>
    <cellStyle name="Normal 3 13 44" xfId="735" xr:uid="{00000000-0005-0000-0000-0000E0020000}"/>
    <cellStyle name="Normal 3 13 44 2" xfId="736" xr:uid="{00000000-0005-0000-0000-0000E1020000}"/>
    <cellStyle name="Normal 3 13 45" xfId="737" xr:uid="{00000000-0005-0000-0000-0000E2020000}"/>
    <cellStyle name="Normal 3 13 45 2" xfId="738" xr:uid="{00000000-0005-0000-0000-0000E3020000}"/>
    <cellStyle name="Normal 3 13 46" xfId="739" xr:uid="{00000000-0005-0000-0000-0000E4020000}"/>
    <cellStyle name="Normal 3 13 5" xfId="740" xr:uid="{00000000-0005-0000-0000-0000E5020000}"/>
    <cellStyle name="Normal 3 13 5 2" xfId="741" xr:uid="{00000000-0005-0000-0000-0000E6020000}"/>
    <cellStyle name="Normal 3 13 6" xfId="742" xr:uid="{00000000-0005-0000-0000-0000E7020000}"/>
    <cellStyle name="Normal 3 13 6 2" xfId="743" xr:uid="{00000000-0005-0000-0000-0000E8020000}"/>
    <cellStyle name="Normal 3 13 7" xfId="744" xr:uid="{00000000-0005-0000-0000-0000E9020000}"/>
    <cellStyle name="Normal 3 13 7 2" xfId="745" xr:uid="{00000000-0005-0000-0000-0000EA020000}"/>
    <cellStyle name="Normal 3 13 8" xfId="746" xr:uid="{00000000-0005-0000-0000-0000EB020000}"/>
    <cellStyle name="Normal 3 13 8 2" xfId="747" xr:uid="{00000000-0005-0000-0000-0000EC020000}"/>
    <cellStyle name="Normal 3 13 9" xfId="748" xr:uid="{00000000-0005-0000-0000-0000ED020000}"/>
    <cellStyle name="Normal 3 13 9 2" xfId="749" xr:uid="{00000000-0005-0000-0000-0000EE020000}"/>
    <cellStyle name="Normal 3 14" xfId="750" xr:uid="{00000000-0005-0000-0000-0000EF020000}"/>
    <cellStyle name="Normal 3 14 2" xfId="751" xr:uid="{00000000-0005-0000-0000-0000F0020000}"/>
    <cellStyle name="Normal 3 15" xfId="752" xr:uid="{00000000-0005-0000-0000-0000F1020000}"/>
    <cellStyle name="Normal 3 15 2" xfId="753" xr:uid="{00000000-0005-0000-0000-0000F2020000}"/>
    <cellStyle name="Normal 3 16" xfId="754" xr:uid="{00000000-0005-0000-0000-0000F3020000}"/>
    <cellStyle name="Normal 3 16 2" xfId="755" xr:uid="{00000000-0005-0000-0000-0000F4020000}"/>
    <cellStyle name="Normal 3 16 2 2" xfId="756" xr:uid="{00000000-0005-0000-0000-0000F5020000}"/>
    <cellStyle name="Normal 3 16 2 2 2" xfId="757" xr:uid="{00000000-0005-0000-0000-0000F6020000}"/>
    <cellStyle name="Normal 3 16 2 3" xfId="758" xr:uid="{00000000-0005-0000-0000-0000F7020000}"/>
    <cellStyle name="Normal 3 16 3" xfId="759" xr:uid="{00000000-0005-0000-0000-0000F8020000}"/>
    <cellStyle name="Normal 3 16 3 2" xfId="760" xr:uid="{00000000-0005-0000-0000-0000F9020000}"/>
    <cellStyle name="Normal 3 16 4" xfId="761" xr:uid="{00000000-0005-0000-0000-0000FA020000}"/>
    <cellStyle name="Normal 3 17" xfId="762" xr:uid="{00000000-0005-0000-0000-0000FB020000}"/>
    <cellStyle name="Normal 3 17 2" xfId="763" xr:uid="{00000000-0005-0000-0000-0000FC020000}"/>
    <cellStyle name="Normal 3 17 2 2" xfId="764" xr:uid="{00000000-0005-0000-0000-0000FD020000}"/>
    <cellStyle name="Normal 3 17 2 2 2" xfId="765" xr:uid="{00000000-0005-0000-0000-0000FE020000}"/>
    <cellStyle name="Normal 3 17 2 3" xfId="766" xr:uid="{00000000-0005-0000-0000-0000FF020000}"/>
    <cellStyle name="Normal 3 17 3" xfId="767" xr:uid="{00000000-0005-0000-0000-000000030000}"/>
    <cellStyle name="Normal 3 17 3 2" xfId="768" xr:uid="{00000000-0005-0000-0000-000001030000}"/>
    <cellStyle name="Normal 3 17 4" xfId="769" xr:uid="{00000000-0005-0000-0000-000002030000}"/>
    <cellStyle name="Normal 3 18" xfId="770" xr:uid="{00000000-0005-0000-0000-000003030000}"/>
    <cellStyle name="Normal 3 18 2" xfId="771" xr:uid="{00000000-0005-0000-0000-000004030000}"/>
    <cellStyle name="Normal 3 18 2 2" xfId="772" xr:uid="{00000000-0005-0000-0000-000005030000}"/>
    <cellStyle name="Normal 3 18 2 2 2" xfId="773" xr:uid="{00000000-0005-0000-0000-000006030000}"/>
    <cellStyle name="Normal 3 18 2 3" xfId="774" xr:uid="{00000000-0005-0000-0000-000007030000}"/>
    <cellStyle name="Normal 3 18 3" xfId="775" xr:uid="{00000000-0005-0000-0000-000008030000}"/>
    <cellStyle name="Normal 3 18 3 2" xfId="776" xr:uid="{00000000-0005-0000-0000-000009030000}"/>
    <cellStyle name="Normal 3 18 4" xfId="777" xr:uid="{00000000-0005-0000-0000-00000A030000}"/>
    <cellStyle name="Normal 3 19" xfId="778" xr:uid="{00000000-0005-0000-0000-00000B030000}"/>
    <cellStyle name="Normal 3 19 2" xfId="779" xr:uid="{00000000-0005-0000-0000-00000C030000}"/>
    <cellStyle name="Normal 3 19 2 2" xfId="780" xr:uid="{00000000-0005-0000-0000-00000D030000}"/>
    <cellStyle name="Normal 3 19 2 2 2" xfId="781" xr:uid="{00000000-0005-0000-0000-00000E030000}"/>
    <cellStyle name="Normal 3 19 2 3" xfId="782" xr:uid="{00000000-0005-0000-0000-00000F030000}"/>
    <cellStyle name="Normal 3 19 3" xfId="783" xr:uid="{00000000-0005-0000-0000-000010030000}"/>
    <cellStyle name="Normal 3 19 3 2" xfId="784" xr:uid="{00000000-0005-0000-0000-000011030000}"/>
    <cellStyle name="Normal 3 19 4" xfId="785" xr:uid="{00000000-0005-0000-0000-000012030000}"/>
    <cellStyle name="Normal 3 2" xfId="786" xr:uid="{00000000-0005-0000-0000-000013030000}"/>
    <cellStyle name="Normal 3 2 10" xfId="787" xr:uid="{00000000-0005-0000-0000-000014030000}"/>
    <cellStyle name="Normal 3 2 10 2" xfId="788" xr:uid="{00000000-0005-0000-0000-000015030000}"/>
    <cellStyle name="Normal 3 2 11" xfId="789" xr:uid="{00000000-0005-0000-0000-000016030000}"/>
    <cellStyle name="Normal 3 2 11 2" xfId="790" xr:uid="{00000000-0005-0000-0000-000017030000}"/>
    <cellStyle name="Normal 3 2 12" xfId="791" xr:uid="{00000000-0005-0000-0000-000018030000}"/>
    <cellStyle name="Normal 3 2 12 2" xfId="792" xr:uid="{00000000-0005-0000-0000-000019030000}"/>
    <cellStyle name="Normal 3 2 13" xfId="793" xr:uid="{00000000-0005-0000-0000-00001A030000}"/>
    <cellStyle name="Normal 3 2 13 2" xfId="794" xr:uid="{00000000-0005-0000-0000-00001B030000}"/>
    <cellStyle name="Normal 3 2 14" xfId="795" xr:uid="{00000000-0005-0000-0000-00001C030000}"/>
    <cellStyle name="Normal 3 2 14 2" xfId="796" xr:uid="{00000000-0005-0000-0000-00001D030000}"/>
    <cellStyle name="Normal 3 2 15" xfId="797" xr:uid="{00000000-0005-0000-0000-00001E030000}"/>
    <cellStyle name="Normal 3 2 15 2" xfId="798" xr:uid="{00000000-0005-0000-0000-00001F030000}"/>
    <cellStyle name="Normal 3 2 16" xfId="799" xr:uid="{00000000-0005-0000-0000-000020030000}"/>
    <cellStyle name="Normal 3 2 16 2" xfId="800" xr:uid="{00000000-0005-0000-0000-000021030000}"/>
    <cellStyle name="Normal 3 2 17" xfId="801" xr:uid="{00000000-0005-0000-0000-000022030000}"/>
    <cellStyle name="Normal 3 2 17 2" xfId="802" xr:uid="{00000000-0005-0000-0000-000023030000}"/>
    <cellStyle name="Normal 3 2 18" xfId="803" xr:uid="{00000000-0005-0000-0000-000024030000}"/>
    <cellStyle name="Normal 3 2 18 2" xfId="804" xr:uid="{00000000-0005-0000-0000-000025030000}"/>
    <cellStyle name="Normal 3 2 19" xfId="805" xr:uid="{00000000-0005-0000-0000-000026030000}"/>
    <cellStyle name="Normal 3 2 19 2" xfId="806" xr:uid="{00000000-0005-0000-0000-000027030000}"/>
    <cellStyle name="Normal 3 2 2" xfId="807" xr:uid="{00000000-0005-0000-0000-000028030000}"/>
    <cellStyle name="Normal 3 2 2 2" xfId="808" xr:uid="{00000000-0005-0000-0000-000029030000}"/>
    <cellStyle name="Normal 3 2 20" xfId="809" xr:uid="{00000000-0005-0000-0000-00002A030000}"/>
    <cellStyle name="Normal 3 2 20 2" xfId="810" xr:uid="{00000000-0005-0000-0000-00002B030000}"/>
    <cellStyle name="Normal 3 2 21" xfId="811" xr:uid="{00000000-0005-0000-0000-00002C030000}"/>
    <cellStyle name="Normal 3 2 21 2" xfId="812" xr:uid="{00000000-0005-0000-0000-00002D030000}"/>
    <cellStyle name="Normal 3 2 22" xfId="813" xr:uid="{00000000-0005-0000-0000-00002E030000}"/>
    <cellStyle name="Normal 3 2 22 2" xfId="814" xr:uid="{00000000-0005-0000-0000-00002F030000}"/>
    <cellStyle name="Normal 3 2 23" xfId="815" xr:uid="{00000000-0005-0000-0000-000030030000}"/>
    <cellStyle name="Normal 3 2 23 2" xfId="816" xr:uid="{00000000-0005-0000-0000-000031030000}"/>
    <cellStyle name="Normal 3 2 24" xfId="817" xr:uid="{00000000-0005-0000-0000-000032030000}"/>
    <cellStyle name="Normal 3 2 24 2" xfId="818" xr:uid="{00000000-0005-0000-0000-000033030000}"/>
    <cellStyle name="Normal 3 2 25" xfId="819" xr:uid="{00000000-0005-0000-0000-000034030000}"/>
    <cellStyle name="Normal 3 2 25 2" xfId="820" xr:uid="{00000000-0005-0000-0000-000035030000}"/>
    <cellStyle name="Normal 3 2 26" xfId="821" xr:uid="{00000000-0005-0000-0000-000036030000}"/>
    <cellStyle name="Normal 3 2 26 2" xfId="822" xr:uid="{00000000-0005-0000-0000-000037030000}"/>
    <cellStyle name="Normal 3 2 27" xfId="823" xr:uid="{00000000-0005-0000-0000-000038030000}"/>
    <cellStyle name="Normal 3 2 27 2" xfId="824" xr:uid="{00000000-0005-0000-0000-000039030000}"/>
    <cellStyle name="Normal 3 2 28" xfId="825" xr:uid="{00000000-0005-0000-0000-00003A030000}"/>
    <cellStyle name="Normal 3 2 28 2" xfId="826" xr:uid="{00000000-0005-0000-0000-00003B030000}"/>
    <cellStyle name="Normal 3 2 29" xfId="827" xr:uid="{00000000-0005-0000-0000-00003C030000}"/>
    <cellStyle name="Normal 3 2 29 2" xfId="828" xr:uid="{00000000-0005-0000-0000-00003D030000}"/>
    <cellStyle name="Normal 3 2 3" xfId="829" xr:uid="{00000000-0005-0000-0000-00003E030000}"/>
    <cellStyle name="Normal 3 2 3 2" xfId="830" xr:uid="{00000000-0005-0000-0000-00003F030000}"/>
    <cellStyle name="Normal 3 2 30" xfId="831" xr:uid="{00000000-0005-0000-0000-000040030000}"/>
    <cellStyle name="Normal 3 2 30 2" xfId="832" xr:uid="{00000000-0005-0000-0000-000041030000}"/>
    <cellStyle name="Normal 3 2 31" xfId="833" xr:uid="{00000000-0005-0000-0000-000042030000}"/>
    <cellStyle name="Normal 3 2 31 2" xfId="834" xr:uid="{00000000-0005-0000-0000-000043030000}"/>
    <cellStyle name="Normal 3 2 32" xfId="835" xr:uid="{00000000-0005-0000-0000-000044030000}"/>
    <cellStyle name="Normal 3 2 32 2" xfId="836" xr:uid="{00000000-0005-0000-0000-000045030000}"/>
    <cellStyle name="Normal 3 2 33" xfId="837" xr:uid="{00000000-0005-0000-0000-000046030000}"/>
    <cellStyle name="Normal 3 2 33 2" xfId="838" xr:uid="{00000000-0005-0000-0000-000047030000}"/>
    <cellStyle name="Normal 3 2 34" xfId="839" xr:uid="{00000000-0005-0000-0000-000048030000}"/>
    <cellStyle name="Normal 3 2 34 2" xfId="840" xr:uid="{00000000-0005-0000-0000-000049030000}"/>
    <cellStyle name="Normal 3 2 35" xfId="841" xr:uid="{00000000-0005-0000-0000-00004A030000}"/>
    <cellStyle name="Normal 3 2 35 2" xfId="842" xr:uid="{00000000-0005-0000-0000-00004B030000}"/>
    <cellStyle name="Normal 3 2 36" xfId="843" xr:uid="{00000000-0005-0000-0000-00004C030000}"/>
    <cellStyle name="Normal 3 2 36 2" xfId="844" xr:uid="{00000000-0005-0000-0000-00004D030000}"/>
    <cellStyle name="Normal 3 2 37" xfId="845" xr:uid="{00000000-0005-0000-0000-00004E030000}"/>
    <cellStyle name="Normal 3 2 37 2" xfId="846" xr:uid="{00000000-0005-0000-0000-00004F030000}"/>
    <cellStyle name="Normal 3 2 38" xfId="847" xr:uid="{00000000-0005-0000-0000-000050030000}"/>
    <cellStyle name="Normal 3 2 38 2" xfId="848" xr:uid="{00000000-0005-0000-0000-000051030000}"/>
    <cellStyle name="Normal 3 2 39" xfId="849" xr:uid="{00000000-0005-0000-0000-000052030000}"/>
    <cellStyle name="Normal 3 2 39 2" xfId="850" xr:uid="{00000000-0005-0000-0000-000053030000}"/>
    <cellStyle name="Normal 3 2 4" xfId="851" xr:uid="{00000000-0005-0000-0000-000054030000}"/>
    <cellStyle name="Normal 3 2 4 2" xfId="852" xr:uid="{00000000-0005-0000-0000-000055030000}"/>
    <cellStyle name="Normal 3 2 40" xfId="853" xr:uid="{00000000-0005-0000-0000-000056030000}"/>
    <cellStyle name="Normal 3 2 40 2" xfId="854" xr:uid="{00000000-0005-0000-0000-000057030000}"/>
    <cellStyle name="Normal 3 2 41" xfId="855" xr:uid="{00000000-0005-0000-0000-000058030000}"/>
    <cellStyle name="Normal 3 2 41 2" xfId="856" xr:uid="{00000000-0005-0000-0000-000059030000}"/>
    <cellStyle name="Normal 3 2 42" xfId="857" xr:uid="{00000000-0005-0000-0000-00005A030000}"/>
    <cellStyle name="Normal 3 2 42 2" xfId="858" xr:uid="{00000000-0005-0000-0000-00005B030000}"/>
    <cellStyle name="Normal 3 2 43" xfId="859" xr:uid="{00000000-0005-0000-0000-00005C030000}"/>
    <cellStyle name="Normal 3 2 43 2" xfId="860" xr:uid="{00000000-0005-0000-0000-00005D030000}"/>
    <cellStyle name="Normal 3 2 44" xfId="861" xr:uid="{00000000-0005-0000-0000-00005E030000}"/>
    <cellStyle name="Normal 3 2 44 2" xfId="862" xr:uid="{00000000-0005-0000-0000-00005F030000}"/>
    <cellStyle name="Normal 3 2 45" xfId="863" xr:uid="{00000000-0005-0000-0000-000060030000}"/>
    <cellStyle name="Normal 3 2 45 2" xfId="864" xr:uid="{00000000-0005-0000-0000-000061030000}"/>
    <cellStyle name="Normal 3 2 46" xfId="865" xr:uid="{00000000-0005-0000-0000-000062030000}"/>
    <cellStyle name="Normal 3 2 46 2" xfId="866" xr:uid="{00000000-0005-0000-0000-000063030000}"/>
    <cellStyle name="Normal 3 2 47" xfId="867" xr:uid="{00000000-0005-0000-0000-000064030000}"/>
    <cellStyle name="Normal 3 2 47 2" xfId="868" xr:uid="{00000000-0005-0000-0000-000065030000}"/>
    <cellStyle name="Normal 3 2 47 2 2" xfId="869" xr:uid="{00000000-0005-0000-0000-000066030000}"/>
    <cellStyle name="Normal 3 2 47 3" xfId="870" xr:uid="{00000000-0005-0000-0000-000067030000}"/>
    <cellStyle name="Normal 3 2 48" xfId="871" xr:uid="{00000000-0005-0000-0000-000068030000}"/>
    <cellStyle name="Normal 3 2 5" xfId="872" xr:uid="{00000000-0005-0000-0000-000069030000}"/>
    <cellStyle name="Normal 3 2 5 2" xfId="873" xr:uid="{00000000-0005-0000-0000-00006A030000}"/>
    <cellStyle name="Normal 3 2 6" xfId="874" xr:uid="{00000000-0005-0000-0000-00006B030000}"/>
    <cellStyle name="Normal 3 2 6 2" xfId="875" xr:uid="{00000000-0005-0000-0000-00006C030000}"/>
    <cellStyle name="Normal 3 2 7" xfId="876" xr:uid="{00000000-0005-0000-0000-00006D030000}"/>
    <cellStyle name="Normal 3 2 7 2" xfId="877" xr:uid="{00000000-0005-0000-0000-00006E030000}"/>
    <cellStyle name="Normal 3 2 8" xfId="878" xr:uid="{00000000-0005-0000-0000-00006F030000}"/>
    <cellStyle name="Normal 3 2 8 2" xfId="879" xr:uid="{00000000-0005-0000-0000-000070030000}"/>
    <cellStyle name="Normal 3 2 9" xfId="880" xr:uid="{00000000-0005-0000-0000-000071030000}"/>
    <cellStyle name="Normal 3 2 9 2" xfId="881" xr:uid="{00000000-0005-0000-0000-000072030000}"/>
    <cellStyle name="Normal 3 20" xfId="882" xr:uid="{00000000-0005-0000-0000-000073030000}"/>
    <cellStyle name="Normal 3 20 2" xfId="883" xr:uid="{00000000-0005-0000-0000-000074030000}"/>
    <cellStyle name="Normal 3 20 2 2" xfId="884" xr:uid="{00000000-0005-0000-0000-000075030000}"/>
    <cellStyle name="Normal 3 20 2 2 2" xfId="885" xr:uid="{00000000-0005-0000-0000-000076030000}"/>
    <cellStyle name="Normal 3 20 2 3" xfId="886" xr:uid="{00000000-0005-0000-0000-000077030000}"/>
    <cellStyle name="Normal 3 20 3" xfId="887" xr:uid="{00000000-0005-0000-0000-000078030000}"/>
    <cellStyle name="Normal 3 20 3 2" xfId="888" xr:uid="{00000000-0005-0000-0000-000079030000}"/>
    <cellStyle name="Normal 3 20 4" xfId="889" xr:uid="{00000000-0005-0000-0000-00007A030000}"/>
    <cellStyle name="Normal 3 21" xfId="890" xr:uid="{00000000-0005-0000-0000-00007B030000}"/>
    <cellStyle name="Normal 3 21 2" xfId="891" xr:uid="{00000000-0005-0000-0000-00007C030000}"/>
    <cellStyle name="Normal 3 21 2 2" xfId="892" xr:uid="{00000000-0005-0000-0000-00007D030000}"/>
    <cellStyle name="Normal 3 21 2 2 2" xfId="893" xr:uid="{00000000-0005-0000-0000-00007E030000}"/>
    <cellStyle name="Normal 3 21 2 3" xfId="894" xr:uid="{00000000-0005-0000-0000-00007F030000}"/>
    <cellStyle name="Normal 3 21 3" xfId="895" xr:uid="{00000000-0005-0000-0000-000080030000}"/>
    <cellStyle name="Normal 3 21 3 2" xfId="896" xr:uid="{00000000-0005-0000-0000-000081030000}"/>
    <cellStyle name="Normal 3 21 4" xfId="897" xr:uid="{00000000-0005-0000-0000-000082030000}"/>
    <cellStyle name="Normal 3 22" xfId="898" xr:uid="{00000000-0005-0000-0000-000083030000}"/>
    <cellStyle name="Normal 3 22 2" xfId="899" xr:uid="{00000000-0005-0000-0000-000084030000}"/>
    <cellStyle name="Normal 3 22 2 2" xfId="900" xr:uid="{00000000-0005-0000-0000-000085030000}"/>
    <cellStyle name="Normal 3 22 2 2 2" xfId="901" xr:uid="{00000000-0005-0000-0000-000086030000}"/>
    <cellStyle name="Normal 3 22 2 3" xfId="902" xr:uid="{00000000-0005-0000-0000-000087030000}"/>
    <cellStyle name="Normal 3 22 3" xfId="903" xr:uid="{00000000-0005-0000-0000-000088030000}"/>
    <cellStyle name="Normal 3 22 3 2" xfId="904" xr:uid="{00000000-0005-0000-0000-000089030000}"/>
    <cellStyle name="Normal 3 22 4" xfId="905" xr:uid="{00000000-0005-0000-0000-00008A030000}"/>
    <cellStyle name="Normal 3 23" xfId="906" xr:uid="{00000000-0005-0000-0000-00008B030000}"/>
    <cellStyle name="Normal 3 23 2" xfId="907" xr:uid="{00000000-0005-0000-0000-00008C030000}"/>
    <cellStyle name="Normal 3 23 2 2" xfId="908" xr:uid="{00000000-0005-0000-0000-00008D030000}"/>
    <cellStyle name="Normal 3 23 2 2 2" xfId="909" xr:uid="{00000000-0005-0000-0000-00008E030000}"/>
    <cellStyle name="Normal 3 23 2 3" xfId="910" xr:uid="{00000000-0005-0000-0000-00008F030000}"/>
    <cellStyle name="Normal 3 23 3" xfId="911" xr:uid="{00000000-0005-0000-0000-000090030000}"/>
    <cellStyle name="Normal 3 23 3 2" xfId="912" xr:uid="{00000000-0005-0000-0000-000091030000}"/>
    <cellStyle name="Normal 3 23 4" xfId="913" xr:uid="{00000000-0005-0000-0000-000092030000}"/>
    <cellStyle name="Normal 3 24" xfId="914" xr:uid="{00000000-0005-0000-0000-000093030000}"/>
    <cellStyle name="Normal 3 24 2" xfId="915" xr:uid="{00000000-0005-0000-0000-000094030000}"/>
    <cellStyle name="Normal 3 24 2 2" xfId="916" xr:uid="{00000000-0005-0000-0000-000095030000}"/>
    <cellStyle name="Normal 3 24 2 2 2" xfId="917" xr:uid="{00000000-0005-0000-0000-000096030000}"/>
    <cellStyle name="Normal 3 24 2 3" xfId="918" xr:uid="{00000000-0005-0000-0000-000097030000}"/>
    <cellStyle name="Normal 3 24 3" xfId="919" xr:uid="{00000000-0005-0000-0000-000098030000}"/>
    <cellStyle name="Normal 3 24 3 2" xfId="920" xr:uid="{00000000-0005-0000-0000-000099030000}"/>
    <cellStyle name="Normal 3 24 4" xfId="921" xr:uid="{00000000-0005-0000-0000-00009A030000}"/>
    <cellStyle name="Normal 3 25" xfId="922" xr:uid="{00000000-0005-0000-0000-00009B030000}"/>
    <cellStyle name="Normal 3 25 2" xfId="923" xr:uid="{00000000-0005-0000-0000-00009C030000}"/>
    <cellStyle name="Normal 3 25 2 2" xfId="924" xr:uid="{00000000-0005-0000-0000-00009D030000}"/>
    <cellStyle name="Normal 3 25 2 2 2" xfId="925" xr:uid="{00000000-0005-0000-0000-00009E030000}"/>
    <cellStyle name="Normal 3 25 2 3" xfId="926" xr:uid="{00000000-0005-0000-0000-00009F030000}"/>
    <cellStyle name="Normal 3 25 3" xfId="927" xr:uid="{00000000-0005-0000-0000-0000A0030000}"/>
    <cellStyle name="Normal 3 25 3 2" xfId="928" xr:uid="{00000000-0005-0000-0000-0000A1030000}"/>
    <cellStyle name="Normal 3 25 4" xfId="929" xr:uid="{00000000-0005-0000-0000-0000A2030000}"/>
    <cellStyle name="Normal 3 26" xfId="930" xr:uid="{00000000-0005-0000-0000-0000A3030000}"/>
    <cellStyle name="Normal 3 26 2" xfId="931" xr:uid="{00000000-0005-0000-0000-0000A4030000}"/>
    <cellStyle name="Normal 3 26 2 2" xfId="932" xr:uid="{00000000-0005-0000-0000-0000A5030000}"/>
    <cellStyle name="Normal 3 26 2 2 2" xfId="933" xr:uid="{00000000-0005-0000-0000-0000A6030000}"/>
    <cellStyle name="Normal 3 26 2 3" xfId="934" xr:uid="{00000000-0005-0000-0000-0000A7030000}"/>
    <cellStyle name="Normal 3 26 3" xfId="935" xr:uid="{00000000-0005-0000-0000-0000A8030000}"/>
    <cellStyle name="Normal 3 26 3 2" xfId="936" xr:uid="{00000000-0005-0000-0000-0000A9030000}"/>
    <cellStyle name="Normal 3 26 4" xfId="937" xr:uid="{00000000-0005-0000-0000-0000AA030000}"/>
    <cellStyle name="Normal 3 27" xfId="938" xr:uid="{00000000-0005-0000-0000-0000AB030000}"/>
    <cellStyle name="Normal 3 27 2" xfId="939" xr:uid="{00000000-0005-0000-0000-0000AC030000}"/>
    <cellStyle name="Normal 3 27 2 2" xfId="940" xr:uid="{00000000-0005-0000-0000-0000AD030000}"/>
    <cellStyle name="Normal 3 27 2 2 2" xfId="941" xr:uid="{00000000-0005-0000-0000-0000AE030000}"/>
    <cellStyle name="Normal 3 27 2 3" xfId="942" xr:uid="{00000000-0005-0000-0000-0000AF030000}"/>
    <cellStyle name="Normal 3 27 3" xfId="943" xr:uid="{00000000-0005-0000-0000-0000B0030000}"/>
    <cellStyle name="Normal 3 27 3 2" xfId="944" xr:uid="{00000000-0005-0000-0000-0000B1030000}"/>
    <cellStyle name="Normal 3 27 4" xfId="945" xr:uid="{00000000-0005-0000-0000-0000B2030000}"/>
    <cellStyle name="Normal 3 28" xfId="946" xr:uid="{00000000-0005-0000-0000-0000B3030000}"/>
    <cellStyle name="Normal 3 28 2" xfId="947" xr:uid="{00000000-0005-0000-0000-0000B4030000}"/>
    <cellStyle name="Normal 3 28 2 2" xfId="948" xr:uid="{00000000-0005-0000-0000-0000B5030000}"/>
    <cellStyle name="Normal 3 28 2 2 2" xfId="949" xr:uid="{00000000-0005-0000-0000-0000B6030000}"/>
    <cellStyle name="Normal 3 28 2 3" xfId="950" xr:uid="{00000000-0005-0000-0000-0000B7030000}"/>
    <cellStyle name="Normal 3 28 3" xfId="951" xr:uid="{00000000-0005-0000-0000-0000B8030000}"/>
    <cellStyle name="Normal 3 28 3 2" xfId="952" xr:uid="{00000000-0005-0000-0000-0000B9030000}"/>
    <cellStyle name="Normal 3 28 4" xfId="953" xr:uid="{00000000-0005-0000-0000-0000BA030000}"/>
    <cellStyle name="Normal 3 29" xfId="954" xr:uid="{00000000-0005-0000-0000-0000BB030000}"/>
    <cellStyle name="Normal 3 29 2" xfId="955" xr:uid="{00000000-0005-0000-0000-0000BC030000}"/>
    <cellStyle name="Normal 3 29 2 2" xfId="956" xr:uid="{00000000-0005-0000-0000-0000BD030000}"/>
    <cellStyle name="Normal 3 29 2 2 2" xfId="957" xr:uid="{00000000-0005-0000-0000-0000BE030000}"/>
    <cellStyle name="Normal 3 29 2 3" xfId="958" xr:uid="{00000000-0005-0000-0000-0000BF030000}"/>
    <cellStyle name="Normal 3 29 3" xfId="959" xr:uid="{00000000-0005-0000-0000-0000C0030000}"/>
    <cellStyle name="Normal 3 29 3 2" xfId="960" xr:uid="{00000000-0005-0000-0000-0000C1030000}"/>
    <cellStyle name="Normal 3 29 4" xfId="961" xr:uid="{00000000-0005-0000-0000-0000C2030000}"/>
    <cellStyle name="Normal 3 3" xfId="962" xr:uid="{00000000-0005-0000-0000-0000C3030000}"/>
    <cellStyle name="Normal 3 3 2" xfId="963" xr:uid="{00000000-0005-0000-0000-0000C4030000}"/>
    <cellStyle name="Normal 3 30" xfId="964" xr:uid="{00000000-0005-0000-0000-0000C5030000}"/>
    <cellStyle name="Normal 3 30 2" xfId="965" xr:uid="{00000000-0005-0000-0000-0000C6030000}"/>
    <cellStyle name="Normal 3 30 2 2" xfId="966" xr:uid="{00000000-0005-0000-0000-0000C7030000}"/>
    <cellStyle name="Normal 3 30 2 2 2" xfId="967" xr:uid="{00000000-0005-0000-0000-0000C8030000}"/>
    <cellStyle name="Normal 3 30 2 3" xfId="968" xr:uid="{00000000-0005-0000-0000-0000C9030000}"/>
    <cellStyle name="Normal 3 30 3" xfId="969" xr:uid="{00000000-0005-0000-0000-0000CA030000}"/>
    <cellStyle name="Normal 3 30 3 2" xfId="970" xr:uid="{00000000-0005-0000-0000-0000CB030000}"/>
    <cellStyle name="Normal 3 30 4" xfId="971" xr:uid="{00000000-0005-0000-0000-0000CC030000}"/>
    <cellStyle name="Normal 3 31" xfId="972" xr:uid="{00000000-0005-0000-0000-0000CD030000}"/>
    <cellStyle name="Normal 3 31 2" xfId="973" xr:uid="{00000000-0005-0000-0000-0000CE030000}"/>
    <cellStyle name="Normal 3 31 2 2" xfId="974" xr:uid="{00000000-0005-0000-0000-0000CF030000}"/>
    <cellStyle name="Normal 3 31 2 2 2" xfId="975" xr:uid="{00000000-0005-0000-0000-0000D0030000}"/>
    <cellStyle name="Normal 3 31 2 3" xfId="976" xr:uid="{00000000-0005-0000-0000-0000D1030000}"/>
    <cellStyle name="Normal 3 31 3" xfId="977" xr:uid="{00000000-0005-0000-0000-0000D2030000}"/>
    <cellStyle name="Normal 3 31 3 2" xfId="978" xr:uid="{00000000-0005-0000-0000-0000D3030000}"/>
    <cellStyle name="Normal 3 31 4" xfId="979" xr:uid="{00000000-0005-0000-0000-0000D4030000}"/>
    <cellStyle name="Normal 3 32" xfId="980" xr:uid="{00000000-0005-0000-0000-0000D5030000}"/>
    <cellStyle name="Normal 3 32 2" xfId="981" xr:uid="{00000000-0005-0000-0000-0000D6030000}"/>
    <cellStyle name="Normal 3 32 2 2" xfId="982" xr:uid="{00000000-0005-0000-0000-0000D7030000}"/>
    <cellStyle name="Normal 3 32 2 2 2" xfId="983" xr:uid="{00000000-0005-0000-0000-0000D8030000}"/>
    <cellStyle name="Normal 3 32 2 3" xfId="984" xr:uid="{00000000-0005-0000-0000-0000D9030000}"/>
    <cellStyle name="Normal 3 32 3" xfId="985" xr:uid="{00000000-0005-0000-0000-0000DA030000}"/>
    <cellStyle name="Normal 3 32 3 2" xfId="986" xr:uid="{00000000-0005-0000-0000-0000DB030000}"/>
    <cellStyle name="Normal 3 32 4" xfId="987" xr:uid="{00000000-0005-0000-0000-0000DC030000}"/>
    <cellStyle name="Normal 3 33" xfId="988" xr:uid="{00000000-0005-0000-0000-0000DD030000}"/>
    <cellStyle name="Normal 3 33 2" xfId="989" xr:uid="{00000000-0005-0000-0000-0000DE030000}"/>
    <cellStyle name="Normal 3 33 2 2" xfId="990" xr:uid="{00000000-0005-0000-0000-0000DF030000}"/>
    <cellStyle name="Normal 3 33 2 2 2" xfId="991" xr:uid="{00000000-0005-0000-0000-0000E0030000}"/>
    <cellStyle name="Normal 3 33 2 3" xfId="992" xr:uid="{00000000-0005-0000-0000-0000E1030000}"/>
    <cellStyle name="Normal 3 33 3" xfId="993" xr:uid="{00000000-0005-0000-0000-0000E2030000}"/>
    <cellStyle name="Normal 3 33 3 2" xfId="994" xr:uid="{00000000-0005-0000-0000-0000E3030000}"/>
    <cellStyle name="Normal 3 33 4" xfId="995" xr:uid="{00000000-0005-0000-0000-0000E4030000}"/>
    <cellStyle name="Normal 3 34" xfId="996" xr:uid="{00000000-0005-0000-0000-0000E5030000}"/>
    <cellStyle name="Normal 3 34 2" xfId="997" xr:uid="{00000000-0005-0000-0000-0000E6030000}"/>
    <cellStyle name="Normal 3 34 2 2" xfId="998" xr:uid="{00000000-0005-0000-0000-0000E7030000}"/>
    <cellStyle name="Normal 3 34 2 2 2" xfId="999" xr:uid="{00000000-0005-0000-0000-0000E8030000}"/>
    <cellStyle name="Normal 3 34 2 3" xfId="1000" xr:uid="{00000000-0005-0000-0000-0000E9030000}"/>
    <cellStyle name="Normal 3 34 3" xfId="1001" xr:uid="{00000000-0005-0000-0000-0000EA030000}"/>
    <cellStyle name="Normal 3 34 3 2" xfId="1002" xr:uid="{00000000-0005-0000-0000-0000EB030000}"/>
    <cellStyle name="Normal 3 34 4" xfId="1003" xr:uid="{00000000-0005-0000-0000-0000EC030000}"/>
    <cellStyle name="Normal 3 35" xfId="1004" xr:uid="{00000000-0005-0000-0000-0000ED030000}"/>
    <cellStyle name="Normal 3 35 2" xfId="1005" xr:uid="{00000000-0005-0000-0000-0000EE030000}"/>
    <cellStyle name="Normal 3 35 2 2" xfId="1006" xr:uid="{00000000-0005-0000-0000-0000EF030000}"/>
    <cellStyle name="Normal 3 35 2 2 2" xfId="1007" xr:uid="{00000000-0005-0000-0000-0000F0030000}"/>
    <cellStyle name="Normal 3 35 2 3" xfId="1008" xr:uid="{00000000-0005-0000-0000-0000F1030000}"/>
    <cellStyle name="Normal 3 35 3" xfId="1009" xr:uid="{00000000-0005-0000-0000-0000F2030000}"/>
    <cellStyle name="Normal 3 35 3 2" xfId="1010" xr:uid="{00000000-0005-0000-0000-0000F3030000}"/>
    <cellStyle name="Normal 3 35 4" xfId="1011" xr:uid="{00000000-0005-0000-0000-0000F4030000}"/>
    <cellStyle name="Normal 3 36" xfId="1012" xr:uid="{00000000-0005-0000-0000-0000F5030000}"/>
    <cellStyle name="Normal 3 36 2" xfId="1013" xr:uid="{00000000-0005-0000-0000-0000F6030000}"/>
    <cellStyle name="Normal 3 36 2 2" xfId="1014" xr:uid="{00000000-0005-0000-0000-0000F7030000}"/>
    <cellStyle name="Normal 3 36 2 2 2" xfId="1015" xr:uid="{00000000-0005-0000-0000-0000F8030000}"/>
    <cellStyle name="Normal 3 36 2 3" xfId="1016" xr:uid="{00000000-0005-0000-0000-0000F9030000}"/>
    <cellStyle name="Normal 3 36 3" xfId="1017" xr:uid="{00000000-0005-0000-0000-0000FA030000}"/>
    <cellStyle name="Normal 3 36 3 2" xfId="1018" xr:uid="{00000000-0005-0000-0000-0000FB030000}"/>
    <cellStyle name="Normal 3 36 4" xfId="1019" xr:uid="{00000000-0005-0000-0000-0000FC030000}"/>
    <cellStyle name="Normal 3 37" xfId="1020" xr:uid="{00000000-0005-0000-0000-0000FD030000}"/>
    <cellStyle name="Normal 3 37 2" xfId="1021" xr:uid="{00000000-0005-0000-0000-0000FE030000}"/>
    <cellStyle name="Normal 3 37 2 2" xfId="1022" xr:uid="{00000000-0005-0000-0000-0000FF030000}"/>
    <cellStyle name="Normal 3 37 2 2 2" xfId="1023" xr:uid="{00000000-0005-0000-0000-000000040000}"/>
    <cellStyle name="Normal 3 37 2 3" xfId="1024" xr:uid="{00000000-0005-0000-0000-000001040000}"/>
    <cellStyle name="Normal 3 37 3" xfId="1025" xr:uid="{00000000-0005-0000-0000-000002040000}"/>
    <cellStyle name="Normal 3 37 3 2" xfId="1026" xr:uid="{00000000-0005-0000-0000-000003040000}"/>
    <cellStyle name="Normal 3 37 4" xfId="1027" xr:uid="{00000000-0005-0000-0000-000004040000}"/>
    <cellStyle name="Normal 3 38" xfId="1028" xr:uid="{00000000-0005-0000-0000-000005040000}"/>
    <cellStyle name="Normal 3 38 2" xfId="1029" xr:uid="{00000000-0005-0000-0000-000006040000}"/>
    <cellStyle name="Normal 3 38 2 2" xfId="1030" xr:uid="{00000000-0005-0000-0000-000007040000}"/>
    <cellStyle name="Normal 3 38 2 2 2" xfId="1031" xr:uid="{00000000-0005-0000-0000-000008040000}"/>
    <cellStyle name="Normal 3 38 2 3" xfId="1032" xr:uid="{00000000-0005-0000-0000-000009040000}"/>
    <cellStyle name="Normal 3 38 3" xfId="1033" xr:uid="{00000000-0005-0000-0000-00000A040000}"/>
    <cellStyle name="Normal 3 38 3 2" xfId="1034" xr:uid="{00000000-0005-0000-0000-00000B040000}"/>
    <cellStyle name="Normal 3 38 4" xfId="1035" xr:uid="{00000000-0005-0000-0000-00000C040000}"/>
    <cellStyle name="Normal 3 39" xfId="1036" xr:uid="{00000000-0005-0000-0000-00000D040000}"/>
    <cellStyle name="Normal 3 39 2" xfId="1037" xr:uid="{00000000-0005-0000-0000-00000E040000}"/>
    <cellStyle name="Normal 3 39 2 2" xfId="1038" xr:uid="{00000000-0005-0000-0000-00000F040000}"/>
    <cellStyle name="Normal 3 39 2 2 2" xfId="1039" xr:uid="{00000000-0005-0000-0000-000010040000}"/>
    <cellStyle name="Normal 3 39 2 3" xfId="1040" xr:uid="{00000000-0005-0000-0000-000011040000}"/>
    <cellStyle name="Normal 3 39 3" xfId="1041" xr:uid="{00000000-0005-0000-0000-000012040000}"/>
    <cellStyle name="Normal 3 39 3 2" xfId="1042" xr:uid="{00000000-0005-0000-0000-000013040000}"/>
    <cellStyle name="Normal 3 39 4" xfId="1043" xr:uid="{00000000-0005-0000-0000-000014040000}"/>
    <cellStyle name="Normal 3 4" xfId="1044" xr:uid="{00000000-0005-0000-0000-000015040000}"/>
    <cellStyle name="Normal 3 4 2" xfId="1045" xr:uid="{00000000-0005-0000-0000-000016040000}"/>
    <cellStyle name="Normal 3 40" xfId="1046" xr:uid="{00000000-0005-0000-0000-000017040000}"/>
    <cellStyle name="Normal 3 40 2" xfId="1047" xr:uid="{00000000-0005-0000-0000-000018040000}"/>
    <cellStyle name="Normal 3 40 2 2" xfId="1048" xr:uid="{00000000-0005-0000-0000-000019040000}"/>
    <cellStyle name="Normal 3 40 2 2 2" xfId="1049" xr:uid="{00000000-0005-0000-0000-00001A040000}"/>
    <cellStyle name="Normal 3 40 2 3" xfId="1050" xr:uid="{00000000-0005-0000-0000-00001B040000}"/>
    <cellStyle name="Normal 3 40 3" xfId="1051" xr:uid="{00000000-0005-0000-0000-00001C040000}"/>
    <cellStyle name="Normal 3 40 3 2" xfId="1052" xr:uid="{00000000-0005-0000-0000-00001D040000}"/>
    <cellStyle name="Normal 3 40 4" xfId="1053" xr:uid="{00000000-0005-0000-0000-00001E040000}"/>
    <cellStyle name="Normal 3 41" xfId="1054" xr:uid="{00000000-0005-0000-0000-00001F040000}"/>
    <cellStyle name="Normal 3 41 2" xfId="1055" xr:uid="{00000000-0005-0000-0000-000020040000}"/>
    <cellStyle name="Normal 3 41 2 2" xfId="1056" xr:uid="{00000000-0005-0000-0000-000021040000}"/>
    <cellStyle name="Normal 3 41 2 2 2" xfId="1057" xr:uid="{00000000-0005-0000-0000-000022040000}"/>
    <cellStyle name="Normal 3 41 2 3" xfId="1058" xr:uid="{00000000-0005-0000-0000-000023040000}"/>
    <cellStyle name="Normal 3 41 3" xfId="1059" xr:uid="{00000000-0005-0000-0000-000024040000}"/>
    <cellStyle name="Normal 3 41 3 2" xfId="1060" xr:uid="{00000000-0005-0000-0000-000025040000}"/>
    <cellStyle name="Normal 3 41 4" xfId="1061" xr:uid="{00000000-0005-0000-0000-000026040000}"/>
    <cellStyle name="Normal 3 42" xfId="1062" xr:uid="{00000000-0005-0000-0000-000027040000}"/>
    <cellStyle name="Normal 3 42 2" xfId="1063" xr:uid="{00000000-0005-0000-0000-000028040000}"/>
    <cellStyle name="Normal 3 42 2 2" xfId="1064" xr:uid="{00000000-0005-0000-0000-000029040000}"/>
    <cellStyle name="Normal 3 42 2 2 2" xfId="1065" xr:uid="{00000000-0005-0000-0000-00002A040000}"/>
    <cellStyle name="Normal 3 42 2 3" xfId="1066" xr:uid="{00000000-0005-0000-0000-00002B040000}"/>
    <cellStyle name="Normal 3 42 3" xfId="1067" xr:uid="{00000000-0005-0000-0000-00002C040000}"/>
    <cellStyle name="Normal 3 42 3 2" xfId="1068" xr:uid="{00000000-0005-0000-0000-00002D040000}"/>
    <cellStyle name="Normal 3 42 4" xfId="1069" xr:uid="{00000000-0005-0000-0000-00002E040000}"/>
    <cellStyle name="Normal 3 43" xfId="1070" xr:uid="{00000000-0005-0000-0000-00002F040000}"/>
    <cellStyle name="Normal 3 43 2" xfId="1071" xr:uid="{00000000-0005-0000-0000-000030040000}"/>
    <cellStyle name="Normal 3 43 2 2" xfId="1072" xr:uid="{00000000-0005-0000-0000-000031040000}"/>
    <cellStyle name="Normal 3 43 2 2 2" xfId="1073" xr:uid="{00000000-0005-0000-0000-000032040000}"/>
    <cellStyle name="Normal 3 43 2 3" xfId="1074" xr:uid="{00000000-0005-0000-0000-000033040000}"/>
    <cellStyle name="Normal 3 43 3" xfId="1075" xr:uid="{00000000-0005-0000-0000-000034040000}"/>
    <cellStyle name="Normal 3 43 3 2" xfId="1076" xr:uid="{00000000-0005-0000-0000-000035040000}"/>
    <cellStyle name="Normal 3 43 4" xfId="1077" xr:uid="{00000000-0005-0000-0000-000036040000}"/>
    <cellStyle name="Normal 3 44" xfId="1078" xr:uid="{00000000-0005-0000-0000-000037040000}"/>
    <cellStyle name="Normal 3 44 2" xfId="1079" xr:uid="{00000000-0005-0000-0000-000038040000}"/>
    <cellStyle name="Normal 3 44 2 2" xfId="1080" xr:uid="{00000000-0005-0000-0000-000039040000}"/>
    <cellStyle name="Normal 3 44 2 2 2" xfId="1081" xr:uid="{00000000-0005-0000-0000-00003A040000}"/>
    <cellStyle name="Normal 3 44 2 3" xfId="1082" xr:uid="{00000000-0005-0000-0000-00003B040000}"/>
    <cellStyle name="Normal 3 44 3" xfId="1083" xr:uid="{00000000-0005-0000-0000-00003C040000}"/>
    <cellStyle name="Normal 3 44 3 2" xfId="1084" xr:uid="{00000000-0005-0000-0000-00003D040000}"/>
    <cellStyle name="Normal 3 44 4" xfId="1085" xr:uid="{00000000-0005-0000-0000-00003E040000}"/>
    <cellStyle name="Normal 3 45" xfId="1086" xr:uid="{00000000-0005-0000-0000-00003F040000}"/>
    <cellStyle name="Normal 3 45 2" xfId="1087" xr:uid="{00000000-0005-0000-0000-000040040000}"/>
    <cellStyle name="Normal 3 45 2 2" xfId="1088" xr:uid="{00000000-0005-0000-0000-000041040000}"/>
    <cellStyle name="Normal 3 45 2 2 2" xfId="1089" xr:uid="{00000000-0005-0000-0000-000042040000}"/>
    <cellStyle name="Normal 3 45 2 3" xfId="1090" xr:uid="{00000000-0005-0000-0000-000043040000}"/>
    <cellStyle name="Normal 3 45 3" xfId="1091" xr:uid="{00000000-0005-0000-0000-000044040000}"/>
    <cellStyle name="Normal 3 45 3 2" xfId="1092" xr:uid="{00000000-0005-0000-0000-000045040000}"/>
    <cellStyle name="Normal 3 45 4" xfId="1093" xr:uid="{00000000-0005-0000-0000-000046040000}"/>
    <cellStyle name="Normal 3 46" xfId="1094" xr:uid="{00000000-0005-0000-0000-000047040000}"/>
    <cellStyle name="Normal 3 46 2" xfId="1095" xr:uid="{00000000-0005-0000-0000-000048040000}"/>
    <cellStyle name="Normal 3 46 2 2" xfId="1096" xr:uid="{00000000-0005-0000-0000-000049040000}"/>
    <cellStyle name="Normal 3 46 2 2 2" xfId="1097" xr:uid="{00000000-0005-0000-0000-00004A040000}"/>
    <cellStyle name="Normal 3 46 2 3" xfId="1098" xr:uid="{00000000-0005-0000-0000-00004B040000}"/>
    <cellStyle name="Normal 3 46 3" xfId="1099" xr:uid="{00000000-0005-0000-0000-00004C040000}"/>
    <cellStyle name="Normal 3 46 3 2" xfId="1100" xr:uid="{00000000-0005-0000-0000-00004D040000}"/>
    <cellStyle name="Normal 3 46 4" xfId="1101" xr:uid="{00000000-0005-0000-0000-00004E040000}"/>
    <cellStyle name="Normal 3 47" xfId="1102" xr:uid="{00000000-0005-0000-0000-00004F040000}"/>
    <cellStyle name="Normal 3 47 2" xfId="1103" xr:uid="{00000000-0005-0000-0000-000050040000}"/>
    <cellStyle name="Normal 3 47 2 2" xfId="1104" xr:uid="{00000000-0005-0000-0000-000051040000}"/>
    <cellStyle name="Normal 3 47 2 2 2" xfId="1105" xr:uid="{00000000-0005-0000-0000-000052040000}"/>
    <cellStyle name="Normal 3 47 2 3" xfId="1106" xr:uid="{00000000-0005-0000-0000-000053040000}"/>
    <cellStyle name="Normal 3 47 3" xfId="1107" xr:uid="{00000000-0005-0000-0000-000054040000}"/>
    <cellStyle name="Normal 3 47 3 2" xfId="1108" xr:uid="{00000000-0005-0000-0000-000055040000}"/>
    <cellStyle name="Normal 3 47 4" xfId="1109" xr:uid="{00000000-0005-0000-0000-000056040000}"/>
    <cellStyle name="Normal 3 48" xfId="1110" xr:uid="{00000000-0005-0000-0000-000057040000}"/>
    <cellStyle name="Normal 3 48 2" xfId="1111" xr:uid="{00000000-0005-0000-0000-000058040000}"/>
    <cellStyle name="Normal 3 48 2 2" xfId="1112" xr:uid="{00000000-0005-0000-0000-000059040000}"/>
    <cellStyle name="Normal 3 48 2 2 2" xfId="1113" xr:uid="{00000000-0005-0000-0000-00005A040000}"/>
    <cellStyle name="Normal 3 48 2 3" xfId="1114" xr:uid="{00000000-0005-0000-0000-00005B040000}"/>
    <cellStyle name="Normal 3 48 3" xfId="1115" xr:uid="{00000000-0005-0000-0000-00005C040000}"/>
    <cellStyle name="Normal 3 48 3 2" xfId="1116" xr:uid="{00000000-0005-0000-0000-00005D040000}"/>
    <cellStyle name="Normal 3 48 4" xfId="1117" xr:uid="{00000000-0005-0000-0000-00005E040000}"/>
    <cellStyle name="Normal 3 49" xfId="1118" xr:uid="{00000000-0005-0000-0000-00005F040000}"/>
    <cellStyle name="Normal 3 49 2" xfId="1119" xr:uid="{00000000-0005-0000-0000-000060040000}"/>
    <cellStyle name="Normal 3 49 2 2" xfId="1120" xr:uid="{00000000-0005-0000-0000-000061040000}"/>
    <cellStyle name="Normal 3 49 2 2 2" xfId="1121" xr:uid="{00000000-0005-0000-0000-000062040000}"/>
    <cellStyle name="Normal 3 49 2 3" xfId="1122" xr:uid="{00000000-0005-0000-0000-000063040000}"/>
    <cellStyle name="Normal 3 49 3" xfId="1123" xr:uid="{00000000-0005-0000-0000-000064040000}"/>
    <cellStyle name="Normal 3 49 3 2" xfId="1124" xr:uid="{00000000-0005-0000-0000-000065040000}"/>
    <cellStyle name="Normal 3 49 4" xfId="1125" xr:uid="{00000000-0005-0000-0000-000066040000}"/>
    <cellStyle name="Normal 3 5" xfId="1126" xr:uid="{00000000-0005-0000-0000-000067040000}"/>
    <cellStyle name="Normal 3 5 2" xfId="1127" xr:uid="{00000000-0005-0000-0000-000068040000}"/>
    <cellStyle name="Normal 3 50" xfId="1128" xr:uid="{00000000-0005-0000-0000-000069040000}"/>
    <cellStyle name="Normal 3 50 2" xfId="1129" xr:uid="{00000000-0005-0000-0000-00006A040000}"/>
    <cellStyle name="Normal 3 50 2 2" xfId="1130" xr:uid="{00000000-0005-0000-0000-00006B040000}"/>
    <cellStyle name="Normal 3 50 2 2 2" xfId="1131" xr:uid="{00000000-0005-0000-0000-00006C040000}"/>
    <cellStyle name="Normal 3 50 2 3" xfId="1132" xr:uid="{00000000-0005-0000-0000-00006D040000}"/>
    <cellStyle name="Normal 3 50 3" xfId="1133" xr:uid="{00000000-0005-0000-0000-00006E040000}"/>
    <cellStyle name="Normal 3 50 3 2" xfId="1134" xr:uid="{00000000-0005-0000-0000-00006F040000}"/>
    <cellStyle name="Normal 3 50 4" xfId="1135" xr:uid="{00000000-0005-0000-0000-000070040000}"/>
    <cellStyle name="Normal 3 51" xfId="1136" xr:uid="{00000000-0005-0000-0000-000071040000}"/>
    <cellStyle name="Normal 3 51 2" xfId="1137" xr:uid="{00000000-0005-0000-0000-000072040000}"/>
    <cellStyle name="Normal 3 51 2 2" xfId="1138" xr:uid="{00000000-0005-0000-0000-000073040000}"/>
    <cellStyle name="Normal 3 51 2 2 2" xfId="1139" xr:uid="{00000000-0005-0000-0000-000074040000}"/>
    <cellStyle name="Normal 3 51 2 3" xfId="1140" xr:uid="{00000000-0005-0000-0000-000075040000}"/>
    <cellStyle name="Normal 3 51 3" xfId="1141" xr:uid="{00000000-0005-0000-0000-000076040000}"/>
    <cellStyle name="Normal 3 51 3 2" xfId="1142" xr:uid="{00000000-0005-0000-0000-000077040000}"/>
    <cellStyle name="Normal 3 51 4" xfId="1143" xr:uid="{00000000-0005-0000-0000-000078040000}"/>
    <cellStyle name="Normal 3 52" xfId="1144" xr:uid="{00000000-0005-0000-0000-000079040000}"/>
    <cellStyle name="Normal 3 52 2" xfId="1145" xr:uid="{00000000-0005-0000-0000-00007A040000}"/>
    <cellStyle name="Normal 3 52 2 2" xfId="1146" xr:uid="{00000000-0005-0000-0000-00007B040000}"/>
    <cellStyle name="Normal 3 52 2 2 2" xfId="1147" xr:uid="{00000000-0005-0000-0000-00007C040000}"/>
    <cellStyle name="Normal 3 52 2 3" xfId="1148" xr:uid="{00000000-0005-0000-0000-00007D040000}"/>
    <cellStyle name="Normal 3 52 3" xfId="1149" xr:uid="{00000000-0005-0000-0000-00007E040000}"/>
    <cellStyle name="Normal 3 52 3 2" xfId="1150" xr:uid="{00000000-0005-0000-0000-00007F040000}"/>
    <cellStyle name="Normal 3 52 4" xfId="1151" xr:uid="{00000000-0005-0000-0000-000080040000}"/>
    <cellStyle name="Normal 3 53" xfId="1152" xr:uid="{00000000-0005-0000-0000-000081040000}"/>
    <cellStyle name="Normal 3 53 2" xfId="1153" xr:uid="{00000000-0005-0000-0000-000082040000}"/>
    <cellStyle name="Normal 3 53 2 2" xfId="1154" xr:uid="{00000000-0005-0000-0000-000083040000}"/>
    <cellStyle name="Normal 3 53 2 2 2" xfId="1155" xr:uid="{00000000-0005-0000-0000-000084040000}"/>
    <cellStyle name="Normal 3 53 2 3" xfId="1156" xr:uid="{00000000-0005-0000-0000-000085040000}"/>
    <cellStyle name="Normal 3 53 3" xfId="1157" xr:uid="{00000000-0005-0000-0000-000086040000}"/>
    <cellStyle name="Normal 3 53 3 2" xfId="1158" xr:uid="{00000000-0005-0000-0000-000087040000}"/>
    <cellStyle name="Normal 3 53 4" xfId="1159" xr:uid="{00000000-0005-0000-0000-000088040000}"/>
    <cellStyle name="Normal 3 54" xfId="1160" xr:uid="{00000000-0005-0000-0000-000089040000}"/>
    <cellStyle name="Normal 3 54 2" xfId="1161" xr:uid="{00000000-0005-0000-0000-00008A040000}"/>
    <cellStyle name="Normal 3 54 2 2" xfId="1162" xr:uid="{00000000-0005-0000-0000-00008B040000}"/>
    <cellStyle name="Normal 3 54 2 2 2" xfId="1163" xr:uid="{00000000-0005-0000-0000-00008C040000}"/>
    <cellStyle name="Normal 3 54 2 3" xfId="1164" xr:uid="{00000000-0005-0000-0000-00008D040000}"/>
    <cellStyle name="Normal 3 54 3" xfId="1165" xr:uid="{00000000-0005-0000-0000-00008E040000}"/>
    <cellStyle name="Normal 3 54 3 2" xfId="1166" xr:uid="{00000000-0005-0000-0000-00008F040000}"/>
    <cellStyle name="Normal 3 54 4" xfId="1167" xr:uid="{00000000-0005-0000-0000-000090040000}"/>
    <cellStyle name="Normal 3 55" xfId="1168" xr:uid="{00000000-0005-0000-0000-000091040000}"/>
    <cellStyle name="Normal 3 55 2" xfId="1169" xr:uid="{00000000-0005-0000-0000-000092040000}"/>
    <cellStyle name="Normal 3 55 2 2" xfId="1170" xr:uid="{00000000-0005-0000-0000-000093040000}"/>
    <cellStyle name="Normal 3 55 2 2 2" xfId="1171" xr:uid="{00000000-0005-0000-0000-000094040000}"/>
    <cellStyle name="Normal 3 55 2 3" xfId="1172" xr:uid="{00000000-0005-0000-0000-000095040000}"/>
    <cellStyle name="Normal 3 55 3" xfId="1173" xr:uid="{00000000-0005-0000-0000-000096040000}"/>
    <cellStyle name="Normal 3 55 3 2" xfId="1174" xr:uid="{00000000-0005-0000-0000-000097040000}"/>
    <cellStyle name="Normal 3 55 4" xfId="1175" xr:uid="{00000000-0005-0000-0000-000098040000}"/>
    <cellStyle name="Normal 3 56" xfId="1176" xr:uid="{00000000-0005-0000-0000-000099040000}"/>
    <cellStyle name="Normal 3 56 2" xfId="1177" xr:uid="{00000000-0005-0000-0000-00009A040000}"/>
    <cellStyle name="Normal 3 56 2 2" xfId="1178" xr:uid="{00000000-0005-0000-0000-00009B040000}"/>
    <cellStyle name="Normal 3 56 2 2 2" xfId="1179" xr:uid="{00000000-0005-0000-0000-00009C040000}"/>
    <cellStyle name="Normal 3 56 2 3" xfId="1180" xr:uid="{00000000-0005-0000-0000-00009D040000}"/>
    <cellStyle name="Normal 3 56 3" xfId="1181" xr:uid="{00000000-0005-0000-0000-00009E040000}"/>
    <cellStyle name="Normal 3 56 3 2" xfId="1182" xr:uid="{00000000-0005-0000-0000-00009F040000}"/>
    <cellStyle name="Normal 3 56 4" xfId="1183" xr:uid="{00000000-0005-0000-0000-0000A0040000}"/>
    <cellStyle name="Normal 3 57" xfId="1184" xr:uid="{00000000-0005-0000-0000-0000A1040000}"/>
    <cellStyle name="Normal 3 57 2" xfId="1185" xr:uid="{00000000-0005-0000-0000-0000A2040000}"/>
    <cellStyle name="Normal 3 57 2 2" xfId="1186" xr:uid="{00000000-0005-0000-0000-0000A3040000}"/>
    <cellStyle name="Normal 3 57 2 2 2" xfId="1187" xr:uid="{00000000-0005-0000-0000-0000A4040000}"/>
    <cellStyle name="Normal 3 57 2 3" xfId="1188" xr:uid="{00000000-0005-0000-0000-0000A5040000}"/>
    <cellStyle name="Normal 3 57 3" xfId="1189" xr:uid="{00000000-0005-0000-0000-0000A6040000}"/>
    <cellStyle name="Normal 3 57 3 2" xfId="1190" xr:uid="{00000000-0005-0000-0000-0000A7040000}"/>
    <cellStyle name="Normal 3 57 4" xfId="1191" xr:uid="{00000000-0005-0000-0000-0000A8040000}"/>
    <cellStyle name="Normal 3 58" xfId="1192" xr:uid="{00000000-0005-0000-0000-0000A9040000}"/>
    <cellStyle name="Normal 3 58 2" xfId="1193" xr:uid="{00000000-0005-0000-0000-0000AA040000}"/>
    <cellStyle name="Normal 3 58 2 2" xfId="1194" xr:uid="{00000000-0005-0000-0000-0000AB040000}"/>
    <cellStyle name="Normal 3 58 3" xfId="1195" xr:uid="{00000000-0005-0000-0000-0000AC040000}"/>
    <cellStyle name="Normal 3 59" xfId="1196" xr:uid="{00000000-0005-0000-0000-0000AD040000}"/>
    <cellStyle name="Normal 3 6" xfId="1197" xr:uid="{00000000-0005-0000-0000-0000AE040000}"/>
    <cellStyle name="Normal 3 6 2" xfId="1198" xr:uid="{00000000-0005-0000-0000-0000AF040000}"/>
    <cellStyle name="Normal 3 60" xfId="1199" xr:uid="{00000000-0005-0000-0000-0000B0040000}"/>
    <cellStyle name="Normal 3 61" xfId="1200" xr:uid="{00000000-0005-0000-0000-0000B1040000}"/>
    <cellStyle name="Normal 3 62" xfId="1201" xr:uid="{00000000-0005-0000-0000-0000B2040000}"/>
    <cellStyle name="Normal 3 63" xfId="1202" xr:uid="{00000000-0005-0000-0000-0000B3040000}"/>
    <cellStyle name="Normal 3 7" xfId="1203" xr:uid="{00000000-0005-0000-0000-0000B4040000}"/>
    <cellStyle name="Normal 3 7 2" xfId="1204" xr:uid="{00000000-0005-0000-0000-0000B5040000}"/>
    <cellStyle name="Normal 3 8" xfId="1205" xr:uid="{00000000-0005-0000-0000-0000B6040000}"/>
    <cellStyle name="Normal 3 8 2" xfId="1206" xr:uid="{00000000-0005-0000-0000-0000B7040000}"/>
    <cellStyle name="Normal 3 9" xfId="1207" xr:uid="{00000000-0005-0000-0000-0000B8040000}"/>
    <cellStyle name="Normal 3 9 2" xfId="1208" xr:uid="{00000000-0005-0000-0000-0000B9040000}"/>
    <cellStyle name="Normal 3_CAB-COMP" xfId="1209" xr:uid="{00000000-0005-0000-0000-0000BA040000}"/>
    <cellStyle name="Normal 30" xfId="1210" xr:uid="{00000000-0005-0000-0000-0000BB040000}"/>
    <cellStyle name="Normal 31" xfId="1211" xr:uid="{00000000-0005-0000-0000-0000BC040000}"/>
    <cellStyle name="Normal 32" xfId="1212" xr:uid="{00000000-0005-0000-0000-0000BD040000}"/>
    <cellStyle name="Normal 32 2" xfId="1213" xr:uid="{00000000-0005-0000-0000-0000BE040000}"/>
    <cellStyle name="Normal 33" xfId="1214" xr:uid="{00000000-0005-0000-0000-0000BF040000}"/>
    <cellStyle name="Normal 33 2" xfId="1215" xr:uid="{00000000-0005-0000-0000-0000C0040000}"/>
    <cellStyle name="Normal 34" xfId="1216" xr:uid="{00000000-0005-0000-0000-0000C1040000}"/>
    <cellStyle name="Normal 35" xfId="1217" xr:uid="{00000000-0005-0000-0000-0000C2040000}"/>
    <cellStyle name="Normal 36" xfId="1218" xr:uid="{00000000-0005-0000-0000-0000C3040000}"/>
    <cellStyle name="Normal 37" xfId="1219" xr:uid="{00000000-0005-0000-0000-0000C4040000}"/>
    <cellStyle name="Normal 37 2" xfId="1220" xr:uid="{00000000-0005-0000-0000-0000C5040000}"/>
    <cellStyle name="Normal 38" xfId="1221" xr:uid="{00000000-0005-0000-0000-0000C6040000}"/>
    <cellStyle name="Normal 38 2" xfId="1222" xr:uid="{00000000-0005-0000-0000-0000C7040000}"/>
    <cellStyle name="Normal 39" xfId="1223" xr:uid="{00000000-0005-0000-0000-0000C8040000}"/>
    <cellStyle name="Normal 4" xfId="1224" xr:uid="{00000000-0005-0000-0000-0000C9040000}"/>
    <cellStyle name="Normal 4 10" xfId="1225" xr:uid="{00000000-0005-0000-0000-0000CA040000}"/>
    <cellStyle name="Normal 4 10 2" xfId="1226" xr:uid="{00000000-0005-0000-0000-0000CB040000}"/>
    <cellStyle name="Normal 4 11" xfId="1227" xr:uid="{00000000-0005-0000-0000-0000CC040000}"/>
    <cellStyle name="Normal 4 11 2" xfId="1228" xr:uid="{00000000-0005-0000-0000-0000CD040000}"/>
    <cellStyle name="Normal 4 12" xfId="1229" xr:uid="{00000000-0005-0000-0000-0000CE040000}"/>
    <cellStyle name="Normal 4 12 2" xfId="1230" xr:uid="{00000000-0005-0000-0000-0000CF040000}"/>
    <cellStyle name="Normal 4 13" xfId="1231" xr:uid="{00000000-0005-0000-0000-0000D0040000}"/>
    <cellStyle name="Normal 4 14" xfId="1232" xr:uid="{00000000-0005-0000-0000-0000D1040000}"/>
    <cellStyle name="Normal 4 15" xfId="1233" xr:uid="{00000000-0005-0000-0000-0000D2040000}"/>
    <cellStyle name="Normal 4 16" xfId="1234" xr:uid="{00000000-0005-0000-0000-0000D3040000}"/>
    <cellStyle name="Normal 4 17" xfId="1235" xr:uid="{00000000-0005-0000-0000-0000D4040000}"/>
    <cellStyle name="Normal 4 2" xfId="1236" xr:uid="{00000000-0005-0000-0000-0000D5040000}"/>
    <cellStyle name="Normal 4 2 2" xfId="1237" xr:uid="{00000000-0005-0000-0000-0000D6040000}"/>
    <cellStyle name="Normal 4 2 2 2" xfId="1238" xr:uid="{00000000-0005-0000-0000-0000D7040000}"/>
    <cellStyle name="Normal 4 2 3" xfId="1239" xr:uid="{00000000-0005-0000-0000-0000D8040000}"/>
    <cellStyle name="Normal 4 2 3 2" xfId="1240" xr:uid="{00000000-0005-0000-0000-0000D9040000}"/>
    <cellStyle name="Normal 4 2 4" xfId="1241" xr:uid="{00000000-0005-0000-0000-0000DA040000}"/>
    <cellStyle name="Normal 4 3" xfId="1242" xr:uid="{00000000-0005-0000-0000-0000DB040000}"/>
    <cellStyle name="Normal 4 3 2" xfId="1243" xr:uid="{00000000-0005-0000-0000-0000DC040000}"/>
    <cellStyle name="Normal 4 4" xfId="1244" xr:uid="{00000000-0005-0000-0000-0000DD040000}"/>
    <cellStyle name="Normal 4 4 2" xfId="1245" xr:uid="{00000000-0005-0000-0000-0000DE040000}"/>
    <cellStyle name="Normal 4 5" xfId="1246" xr:uid="{00000000-0005-0000-0000-0000DF040000}"/>
    <cellStyle name="Normal 4 5 2" xfId="1247" xr:uid="{00000000-0005-0000-0000-0000E0040000}"/>
    <cellStyle name="Normal 4 6" xfId="1248" xr:uid="{00000000-0005-0000-0000-0000E1040000}"/>
    <cellStyle name="Normal 4 6 2" xfId="1249" xr:uid="{00000000-0005-0000-0000-0000E2040000}"/>
    <cellStyle name="Normal 4 7" xfId="1250" xr:uid="{00000000-0005-0000-0000-0000E3040000}"/>
    <cellStyle name="Normal 4 7 2" xfId="1251" xr:uid="{00000000-0005-0000-0000-0000E4040000}"/>
    <cellStyle name="Normal 4 8" xfId="1252" xr:uid="{00000000-0005-0000-0000-0000E5040000}"/>
    <cellStyle name="Normal 4 8 2" xfId="1253" xr:uid="{00000000-0005-0000-0000-0000E6040000}"/>
    <cellStyle name="Normal 4 9" xfId="1254" xr:uid="{00000000-0005-0000-0000-0000E7040000}"/>
    <cellStyle name="Normal 4 9 2" xfId="1255" xr:uid="{00000000-0005-0000-0000-0000E8040000}"/>
    <cellStyle name="Normal 40" xfId="1256" xr:uid="{00000000-0005-0000-0000-0000E9040000}"/>
    <cellStyle name="Normal 41" xfId="1257" xr:uid="{00000000-0005-0000-0000-0000EA040000}"/>
    <cellStyle name="Normal 42" xfId="1258" xr:uid="{00000000-0005-0000-0000-0000EB040000}"/>
    <cellStyle name="Normal 42 2" xfId="1259" xr:uid="{00000000-0005-0000-0000-0000EC040000}"/>
    <cellStyle name="Normal 43" xfId="1260" xr:uid="{00000000-0005-0000-0000-0000ED040000}"/>
    <cellStyle name="Normal 43 2" xfId="1261" xr:uid="{00000000-0005-0000-0000-0000EE040000}"/>
    <cellStyle name="Normal 44" xfId="1262" xr:uid="{00000000-0005-0000-0000-0000EF040000}"/>
    <cellStyle name="Normal 45" xfId="1263" xr:uid="{00000000-0005-0000-0000-0000F0040000}"/>
    <cellStyle name="Normal 46" xfId="1264" xr:uid="{00000000-0005-0000-0000-0000F1040000}"/>
    <cellStyle name="Normal 47" xfId="1265" xr:uid="{00000000-0005-0000-0000-0000F2040000}"/>
    <cellStyle name="Normal 47 2" xfId="1266" xr:uid="{00000000-0005-0000-0000-0000F3040000}"/>
    <cellStyle name="Normal 48" xfId="1267" xr:uid="{00000000-0005-0000-0000-0000F4040000}"/>
    <cellStyle name="Normal 48 2" xfId="1268" xr:uid="{00000000-0005-0000-0000-0000F5040000}"/>
    <cellStyle name="Normal 49" xfId="1269" xr:uid="{00000000-0005-0000-0000-0000F6040000}"/>
    <cellStyle name="Normal 5" xfId="1270" xr:uid="{00000000-0005-0000-0000-0000F7040000}"/>
    <cellStyle name="Normal 5 2" xfId="1271" xr:uid="{00000000-0005-0000-0000-0000F8040000}"/>
    <cellStyle name="Normal 5 2 2" xfId="1272" xr:uid="{00000000-0005-0000-0000-0000F9040000}"/>
    <cellStyle name="Normal 5 2 3" xfId="1273" xr:uid="{00000000-0005-0000-0000-0000FA040000}"/>
    <cellStyle name="Normal 5 3" xfId="1274" xr:uid="{00000000-0005-0000-0000-0000FB040000}"/>
    <cellStyle name="Normal 5 3 2" xfId="1275" xr:uid="{00000000-0005-0000-0000-0000FC040000}"/>
    <cellStyle name="Normal 5 4" xfId="1276" xr:uid="{00000000-0005-0000-0000-0000FD040000}"/>
    <cellStyle name="Normal 5 5" xfId="1277" xr:uid="{00000000-0005-0000-0000-0000FE040000}"/>
    <cellStyle name="Normal 5 6" xfId="1278" xr:uid="{00000000-0005-0000-0000-0000FF040000}"/>
    <cellStyle name="Normal 50" xfId="1279" xr:uid="{00000000-0005-0000-0000-000000050000}"/>
    <cellStyle name="Normal 50 2" xfId="1280" xr:uid="{00000000-0005-0000-0000-000001050000}"/>
    <cellStyle name="Normal 50 3" xfId="1281" xr:uid="{00000000-0005-0000-0000-000002050000}"/>
    <cellStyle name="Normal 51" xfId="1282" xr:uid="{00000000-0005-0000-0000-000003050000}"/>
    <cellStyle name="Normal 52" xfId="1283" xr:uid="{00000000-0005-0000-0000-000004050000}"/>
    <cellStyle name="Normal 53" xfId="1284" xr:uid="{00000000-0005-0000-0000-000005050000}"/>
    <cellStyle name="Normal 54" xfId="1285" xr:uid="{00000000-0005-0000-0000-000006050000}"/>
    <cellStyle name="Normal 55" xfId="1286" xr:uid="{00000000-0005-0000-0000-000007050000}"/>
    <cellStyle name="Normal 55 2" xfId="1287" xr:uid="{00000000-0005-0000-0000-000008050000}"/>
    <cellStyle name="Normal 55 3" xfId="1288" xr:uid="{00000000-0005-0000-0000-000009050000}"/>
    <cellStyle name="Normal 55 3 2" xfId="1289" xr:uid="{00000000-0005-0000-0000-00000A050000}"/>
    <cellStyle name="Normal 55 3 2 2" xfId="1290" xr:uid="{00000000-0005-0000-0000-00000B050000}"/>
    <cellStyle name="Normal 55 3 2 2 2" xfId="1291" xr:uid="{00000000-0005-0000-0000-00000C050000}"/>
    <cellStyle name="Normal 55 3 3" xfId="1292" xr:uid="{00000000-0005-0000-0000-00000D050000}"/>
    <cellStyle name="Normal 56" xfId="1293" xr:uid="{00000000-0005-0000-0000-00000E050000}"/>
    <cellStyle name="Normal 56 2" xfId="1294" xr:uid="{00000000-0005-0000-0000-00000F050000}"/>
    <cellStyle name="Normal 56 3" xfId="1295" xr:uid="{00000000-0005-0000-0000-000010050000}"/>
    <cellStyle name="Normal 56 3 2" xfId="1296" xr:uid="{00000000-0005-0000-0000-000011050000}"/>
    <cellStyle name="Normal 56 3 2 2" xfId="1297" xr:uid="{00000000-0005-0000-0000-000012050000}"/>
    <cellStyle name="Normal 56 3 2 2 2" xfId="1298" xr:uid="{00000000-0005-0000-0000-000013050000}"/>
    <cellStyle name="Normal 56 3 3" xfId="1299" xr:uid="{00000000-0005-0000-0000-000014050000}"/>
    <cellStyle name="Normal 57" xfId="1300" xr:uid="{00000000-0005-0000-0000-000015050000}"/>
    <cellStyle name="Normal 57 2" xfId="1301" xr:uid="{00000000-0005-0000-0000-000016050000}"/>
    <cellStyle name="Normal 57 3" xfId="1302" xr:uid="{00000000-0005-0000-0000-000017050000}"/>
    <cellStyle name="Normal 57 3 2" xfId="1303" xr:uid="{00000000-0005-0000-0000-000018050000}"/>
    <cellStyle name="Normal 57 3 2 2" xfId="1304" xr:uid="{00000000-0005-0000-0000-000019050000}"/>
    <cellStyle name="Normal 57 3 2 2 2" xfId="1305" xr:uid="{00000000-0005-0000-0000-00001A050000}"/>
    <cellStyle name="Normal 57 3 3" xfId="1306" xr:uid="{00000000-0005-0000-0000-00001B050000}"/>
    <cellStyle name="Normal 58" xfId="1307" xr:uid="{00000000-0005-0000-0000-00001C050000}"/>
    <cellStyle name="Normal 58 2" xfId="1308" xr:uid="{00000000-0005-0000-0000-00001D050000}"/>
    <cellStyle name="Normal 58 3" xfId="1309" xr:uid="{00000000-0005-0000-0000-00001E050000}"/>
    <cellStyle name="Normal 58 3 2" xfId="1310" xr:uid="{00000000-0005-0000-0000-00001F050000}"/>
    <cellStyle name="Normal 58 3 2 2" xfId="1311" xr:uid="{00000000-0005-0000-0000-000020050000}"/>
    <cellStyle name="Normal 58 3 2 2 2" xfId="1312" xr:uid="{00000000-0005-0000-0000-000021050000}"/>
    <cellStyle name="Normal 58 3 3" xfId="1313" xr:uid="{00000000-0005-0000-0000-000022050000}"/>
    <cellStyle name="Normal 59" xfId="1314" xr:uid="{00000000-0005-0000-0000-000023050000}"/>
    <cellStyle name="Normal 59 2" xfId="1315" xr:uid="{00000000-0005-0000-0000-000024050000}"/>
    <cellStyle name="Normal 59 3" xfId="1316" xr:uid="{00000000-0005-0000-0000-000025050000}"/>
    <cellStyle name="Normal 59 3 2" xfId="1317" xr:uid="{00000000-0005-0000-0000-000026050000}"/>
    <cellStyle name="Normal 59 3 2 2" xfId="1318" xr:uid="{00000000-0005-0000-0000-000027050000}"/>
    <cellStyle name="Normal 59 3 2 2 2" xfId="1319" xr:uid="{00000000-0005-0000-0000-000028050000}"/>
    <cellStyle name="Normal 59 3 3" xfId="1320" xr:uid="{00000000-0005-0000-0000-000029050000}"/>
    <cellStyle name="Normal 6" xfId="1321" xr:uid="{00000000-0005-0000-0000-00002A050000}"/>
    <cellStyle name="Normal 6 10" xfId="1322" xr:uid="{00000000-0005-0000-0000-00002B050000}"/>
    <cellStyle name="Normal 6 10 2" xfId="1323" xr:uid="{00000000-0005-0000-0000-00002C050000}"/>
    <cellStyle name="Normal 6 11" xfId="1324" xr:uid="{00000000-0005-0000-0000-00002D050000}"/>
    <cellStyle name="Normal 6 12" xfId="1325" xr:uid="{00000000-0005-0000-0000-00002E050000}"/>
    <cellStyle name="Normal 6 13" xfId="1326" xr:uid="{00000000-0005-0000-0000-00002F050000}"/>
    <cellStyle name="Normal 6 14" xfId="1327" xr:uid="{00000000-0005-0000-0000-000030050000}"/>
    <cellStyle name="Normal 6 15" xfId="1328" xr:uid="{00000000-0005-0000-0000-000031050000}"/>
    <cellStyle name="Normal 6 16" xfId="1329" xr:uid="{00000000-0005-0000-0000-000032050000}"/>
    <cellStyle name="Normal 6 17" xfId="1330" xr:uid="{00000000-0005-0000-0000-000033050000}"/>
    <cellStyle name="Normal 6 18" xfId="1331" xr:uid="{00000000-0005-0000-0000-000034050000}"/>
    <cellStyle name="Normal 6 19" xfId="1332" xr:uid="{00000000-0005-0000-0000-000035050000}"/>
    <cellStyle name="Normal 6 2" xfId="1333" xr:uid="{00000000-0005-0000-0000-000036050000}"/>
    <cellStyle name="Normal 6 2 10" xfId="1334" xr:uid="{00000000-0005-0000-0000-000037050000}"/>
    <cellStyle name="Normal 6 2 10 2" xfId="1335" xr:uid="{00000000-0005-0000-0000-000038050000}"/>
    <cellStyle name="Normal 6 2 11" xfId="1336" xr:uid="{00000000-0005-0000-0000-000039050000}"/>
    <cellStyle name="Normal 6 2 11 2" xfId="1337" xr:uid="{00000000-0005-0000-0000-00003A050000}"/>
    <cellStyle name="Normal 6 2 12" xfId="1338" xr:uid="{00000000-0005-0000-0000-00003B050000}"/>
    <cellStyle name="Normal 6 2 12 2" xfId="1339" xr:uid="{00000000-0005-0000-0000-00003C050000}"/>
    <cellStyle name="Normal 6 2 13" xfId="1340" xr:uid="{00000000-0005-0000-0000-00003D050000}"/>
    <cellStyle name="Normal 6 2 13 2" xfId="1341" xr:uid="{00000000-0005-0000-0000-00003E050000}"/>
    <cellStyle name="Normal 6 2 14" xfId="1342" xr:uid="{00000000-0005-0000-0000-00003F050000}"/>
    <cellStyle name="Normal 6 2 14 2" xfId="1343" xr:uid="{00000000-0005-0000-0000-000040050000}"/>
    <cellStyle name="Normal 6 2 15" xfId="1344" xr:uid="{00000000-0005-0000-0000-000041050000}"/>
    <cellStyle name="Normal 6 2 15 2" xfId="1345" xr:uid="{00000000-0005-0000-0000-000042050000}"/>
    <cellStyle name="Normal 6 2 16" xfId="1346" xr:uid="{00000000-0005-0000-0000-000043050000}"/>
    <cellStyle name="Normal 6 2 16 2" xfId="1347" xr:uid="{00000000-0005-0000-0000-000044050000}"/>
    <cellStyle name="Normal 6 2 17" xfId="1348" xr:uid="{00000000-0005-0000-0000-000045050000}"/>
    <cellStyle name="Normal 6 2 17 2" xfId="1349" xr:uid="{00000000-0005-0000-0000-000046050000}"/>
    <cellStyle name="Normal 6 2 18" xfId="1350" xr:uid="{00000000-0005-0000-0000-000047050000}"/>
    <cellStyle name="Normal 6 2 18 2" xfId="1351" xr:uid="{00000000-0005-0000-0000-000048050000}"/>
    <cellStyle name="Normal 6 2 19" xfId="1352" xr:uid="{00000000-0005-0000-0000-000049050000}"/>
    <cellStyle name="Normal 6 2 19 2" xfId="1353" xr:uid="{00000000-0005-0000-0000-00004A050000}"/>
    <cellStyle name="Normal 6 2 2" xfId="1354" xr:uid="{00000000-0005-0000-0000-00004B050000}"/>
    <cellStyle name="Normal 6 2 2 2" xfId="1355" xr:uid="{00000000-0005-0000-0000-00004C050000}"/>
    <cellStyle name="Normal 6 2 20" xfId="1356" xr:uid="{00000000-0005-0000-0000-00004D050000}"/>
    <cellStyle name="Normal 6 2 20 2" xfId="1357" xr:uid="{00000000-0005-0000-0000-00004E050000}"/>
    <cellStyle name="Normal 6 2 21" xfId="1358" xr:uid="{00000000-0005-0000-0000-00004F050000}"/>
    <cellStyle name="Normal 6 2 21 2" xfId="1359" xr:uid="{00000000-0005-0000-0000-000050050000}"/>
    <cellStyle name="Normal 6 2 22" xfId="1360" xr:uid="{00000000-0005-0000-0000-000051050000}"/>
    <cellStyle name="Normal 6 2 22 2" xfId="1361" xr:uid="{00000000-0005-0000-0000-000052050000}"/>
    <cellStyle name="Normal 6 2 23" xfId="1362" xr:uid="{00000000-0005-0000-0000-000053050000}"/>
    <cellStyle name="Normal 6 2 23 2" xfId="1363" xr:uid="{00000000-0005-0000-0000-000054050000}"/>
    <cellStyle name="Normal 6 2 24" xfId="1364" xr:uid="{00000000-0005-0000-0000-000055050000}"/>
    <cellStyle name="Normal 6 2 24 2" xfId="1365" xr:uid="{00000000-0005-0000-0000-000056050000}"/>
    <cellStyle name="Normal 6 2 25" xfId="1366" xr:uid="{00000000-0005-0000-0000-000057050000}"/>
    <cellStyle name="Normal 6 2 25 2" xfId="1367" xr:uid="{00000000-0005-0000-0000-000058050000}"/>
    <cellStyle name="Normal 6 2 26" xfId="1368" xr:uid="{00000000-0005-0000-0000-000059050000}"/>
    <cellStyle name="Normal 6 2 26 2" xfId="1369" xr:uid="{00000000-0005-0000-0000-00005A050000}"/>
    <cellStyle name="Normal 6 2 27" xfId="1370" xr:uid="{00000000-0005-0000-0000-00005B050000}"/>
    <cellStyle name="Normal 6 2 27 2" xfId="1371" xr:uid="{00000000-0005-0000-0000-00005C050000}"/>
    <cellStyle name="Normal 6 2 28" xfId="1372" xr:uid="{00000000-0005-0000-0000-00005D050000}"/>
    <cellStyle name="Normal 6 2 28 2" xfId="1373" xr:uid="{00000000-0005-0000-0000-00005E050000}"/>
    <cellStyle name="Normal 6 2 29" xfId="1374" xr:uid="{00000000-0005-0000-0000-00005F050000}"/>
    <cellStyle name="Normal 6 2 29 2" xfId="1375" xr:uid="{00000000-0005-0000-0000-000060050000}"/>
    <cellStyle name="Normal 6 2 3" xfId="1376" xr:uid="{00000000-0005-0000-0000-000061050000}"/>
    <cellStyle name="Normal 6 2 3 2" xfId="1377" xr:uid="{00000000-0005-0000-0000-000062050000}"/>
    <cellStyle name="Normal 6 2 30" xfId="1378" xr:uid="{00000000-0005-0000-0000-000063050000}"/>
    <cellStyle name="Normal 6 2 30 2" xfId="1379" xr:uid="{00000000-0005-0000-0000-000064050000}"/>
    <cellStyle name="Normal 6 2 31" xfId="1380" xr:uid="{00000000-0005-0000-0000-000065050000}"/>
    <cellStyle name="Normal 6 2 31 2" xfId="1381" xr:uid="{00000000-0005-0000-0000-000066050000}"/>
    <cellStyle name="Normal 6 2 32" xfId="1382" xr:uid="{00000000-0005-0000-0000-000067050000}"/>
    <cellStyle name="Normal 6 2 32 2" xfId="1383" xr:uid="{00000000-0005-0000-0000-000068050000}"/>
    <cellStyle name="Normal 6 2 33" xfId="1384" xr:uid="{00000000-0005-0000-0000-000069050000}"/>
    <cellStyle name="Normal 6 2 33 2" xfId="1385" xr:uid="{00000000-0005-0000-0000-00006A050000}"/>
    <cellStyle name="Normal 6 2 34" xfId="1386" xr:uid="{00000000-0005-0000-0000-00006B050000}"/>
    <cellStyle name="Normal 6 2 34 2" xfId="1387" xr:uid="{00000000-0005-0000-0000-00006C050000}"/>
    <cellStyle name="Normal 6 2 35" xfId="1388" xr:uid="{00000000-0005-0000-0000-00006D050000}"/>
    <cellStyle name="Normal 6 2 35 2" xfId="1389" xr:uid="{00000000-0005-0000-0000-00006E050000}"/>
    <cellStyle name="Normal 6 2 36" xfId="1390" xr:uid="{00000000-0005-0000-0000-00006F050000}"/>
    <cellStyle name="Normal 6 2 36 2" xfId="1391" xr:uid="{00000000-0005-0000-0000-000070050000}"/>
    <cellStyle name="Normal 6 2 37" xfId="1392" xr:uid="{00000000-0005-0000-0000-000071050000}"/>
    <cellStyle name="Normal 6 2 37 2" xfId="1393" xr:uid="{00000000-0005-0000-0000-000072050000}"/>
    <cellStyle name="Normal 6 2 38" xfId="1394" xr:uid="{00000000-0005-0000-0000-000073050000}"/>
    <cellStyle name="Normal 6 2 38 2" xfId="1395" xr:uid="{00000000-0005-0000-0000-000074050000}"/>
    <cellStyle name="Normal 6 2 39" xfId="1396" xr:uid="{00000000-0005-0000-0000-000075050000}"/>
    <cellStyle name="Normal 6 2 39 2" xfId="1397" xr:uid="{00000000-0005-0000-0000-000076050000}"/>
    <cellStyle name="Normal 6 2 4" xfId="1398" xr:uid="{00000000-0005-0000-0000-000077050000}"/>
    <cellStyle name="Normal 6 2 4 2" xfId="1399" xr:uid="{00000000-0005-0000-0000-000078050000}"/>
    <cellStyle name="Normal 6 2 40" xfId="1400" xr:uid="{00000000-0005-0000-0000-000079050000}"/>
    <cellStyle name="Normal 6 2 40 2" xfId="1401" xr:uid="{00000000-0005-0000-0000-00007A050000}"/>
    <cellStyle name="Normal 6 2 41" xfId="1402" xr:uid="{00000000-0005-0000-0000-00007B050000}"/>
    <cellStyle name="Normal 6 2 41 2" xfId="1403" xr:uid="{00000000-0005-0000-0000-00007C050000}"/>
    <cellStyle name="Normal 6 2 42" xfId="1404" xr:uid="{00000000-0005-0000-0000-00007D050000}"/>
    <cellStyle name="Normal 6 2 42 2" xfId="1405" xr:uid="{00000000-0005-0000-0000-00007E050000}"/>
    <cellStyle name="Normal 6 2 43" xfId="1406" xr:uid="{00000000-0005-0000-0000-00007F050000}"/>
    <cellStyle name="Normal 6 2 43 2" xfId="1407" xr:uid="{00000000-0005-0000-0000-000080050000}"/>
    <cellStyle name="Normal 6 2 44" xfId="1408" xr:uid="{00000000-0005-0000-0000-000081050000}"/>
    <cellStyle name="Normal 6 2 44 2" xfId="1409" xr:uid="{00000000-0005-0000-0000-000082050000}"/>
    <cellStyle name="Normal 6 2 45" xfId="1410" xr:uid="{00000000-0005-0000-0000-000083050000}"/>
    <cellStyle name="Normal 6 2 45 2" xfId="1411" xr:uid="{00000000-0005-0000-0000-000084050000}"/>
    <cellStyle name="Normal 6 2 46" xfId="1412" xr:uid="{00000000-0005-0000-0000-000085050000}"/>
    <cellStyle name="Normal 6 2 46 2" xfId="1413" xr:uid="{00000000-0005-0000-0000-000086050000}"/>
    <cellStyle name="Normal 6 2 5" xfId="1414" xr:uid="{00000000-0005-0000-0000-000087050000}"/>
    <cellStyle name="Normal 6 2 5 2" xfId="1415" xr:uid="{00000000-0005-0000-0000-000088050000}"/>
    <cellStyle name="Normal 6 2 6" xfId="1416" xr:uid="{00000000-0005-0000-0000-000089050000}"/>
    <cellStyle name="Normal 6 2 6 2" xfId="1417" xr:uid="{00000000-0005-0000-0000-00008A050000}"/>
    <cellStyle name="Normal 6 2 7" xfId="1418" xr:uid="{00000000-0005-0000-0000-00008B050000}"/>
    <cellStyle name="Normal 6 2 7 2" xfId="1419" xr:uid="{00000000-0005-0000-0000-00008C050000}"/>
    <cellStyle name="Normal 6 2 8" xfId="1420" xr:uid="{00000000-0005-0000-0000-00008D050000}"/>
    <cellStyle name="Normal 6 2 8 2" xfId="1421" xr:uid="{00000000-0005-0000-0000-00008E050000}"/>
    <cellStyle name="Normal 6 2 9" xfId="1422" xr:uid="{00000000-0005-0000-0000-00008F050000}"/>
    <cellStyle name="Normal 6 2 9 2" xfId="1423" xr:uid="{00000000-0005-0000-0000-000090050000}"/>
    <cellStyle name="Normal 6 20" xfId="1424" xr:uid="{00000000-0005-0000-0000-000091050000}"/>
    <cellStyle name="Normal 6 21" xfId="1425" xr:uid="{00000000-0005-0000-0000-000092050000}"/>
    <cellStyle name="Normal 6 22" xfId="1426" xr:uid="{00000000-0005-0000-0000-000093050000}"/>
    <cellStyle name="Normal 6 23" xfId="1427" xr:uid="{00000000-0005-0000-0000-000094050000}"/>
    <cellStyle name="Normal 6 24" xfId="1428" xr:uid="{00000000-0005-0000-0000-000095050000}"/>
    <cellStyle name="Normal 6 25" xfId="1429" xr:uid="{00000000-0005-0000-0000-000096050000}"/>
    <cellStyle name="Normal 6 26" xfId="1430" xr:uid="{00000000-0005-0000-0000-000097050000}"/>
    <cellStyle name="Normal 6 27" xfId="1431" xr:uid="{00000000-0005-0000-0000-000098050000}"/>
    <cellStyle name="Normal 6 28" xfId="1432" xr:uid="{00000000-0005-0000-0000-000099050000}"/>
    <cellStyle name="Normal 6 29" xfId="1433" xr:uid="{00000000-0005-0000-0000-00009A050000}"/>
    <cellStyle name="Normal 6 3" xfId="1434" xr:uid="{00000000-0005-0000-0000-00009B050000}"/>
    <cellStyle name="Normal 6 3 2" xfId="1435" xr:uid="{00000000-0005-0000-0000-00009C050000}"/>
    <cellStyle name="Normal 6 30" xfId="1436" xr:uid="{00000000-0005-0000-0000-00009D050000}"/>
    <cellStyle name="Normal 6 31" xfId="1437" xr:uid="{00000000-0005-0000-0000-00009E050000}"/>
    <cellStyle name="Normal 6 32" xfId="1438" xr:uid="{00000000-0005-0000-0000-00009F050000}"/>
    <cellStyle name="Normal 6 33" xfId="1439" xr:uid="{00000000-0005-0000-0000-0000A0050000}"/>
    <cellStyle name="Normal 6 34" xfId="1440" xr:uid="{00000000-0005-0000-0000-0000A1050000}"/>
    <cellStyle name="Normal 6 35" xfId="1441" xr:uid="{00000000-0005-0000-0000-0000A2050000}"/>
    <cellStyle name="Normal 6 36" xfId="1442" xr:uid="{00000000-0005-0000-0000-0000A3050000}"/>
    <cellStyle name="Normal 6 37" xfId="1443" xr:uid="{00000000-0005-0000-0000-0000A4050000}"/>
    <cellStyle name="Normal 6 38" xfId="1444" xr:uid="{00000000-0005-0000-0000-0000A5050000}"/>
    <cellStyle name="Normal 6 39" xfId="1445" xr:uid="{00000000-0005-0000-0000-0000A6050000}"/>
    <cellStyle name="Normal 6 4" xfId="1446" xr:uid="{00000000-0005-0000-0000-0000A7050000}"/>
    <cellStyle name="Normal 6 4 2" xfId="1447" xr:uid="{00000000-0005-0000-0000-0000A8050000}"/>
    <cellStyle name="Normal 6 40" xfId="1448" xr:uid="{00000000-0005-0000-0000-0000A9050000}"/>
    <cellStyle name="Normal 6 41" xfId="1449" xr:uid="{00000000-0005-0000-0000-0000AA050000}"/>
    <cellStyle name="Normal 6 42" xfId="1450" xr:uid="{00000000-0005-0000-0000-0000AB050000}"/>
    <cellStyle name="Normal 6 43" xfId="1451" xr:uid="{00000000-0005-0000-0000-0000AC050000}"/>
    <cellStyle name="Normal 6 44" xfId="1452" xr:uid="{00000000-0005-0000-0000-0000AD050000}"/>
    <cellStyle name="Normal 6 45" xfId="1453" xr:uid="{00000000-0005-0000-0000-0000AE050000}"/>
    <cellStyle name="Normal 6 46" xfId="1454" xr:uid="{00000000-0005-0000-0000-0000AF050000}"/>
    <cellStyle name="Normal 6 47" xfId="1455" xr:uid="{00000000-0005-0000-0000-0000B0050000}"/>
    <cellStyle name="Normal 6 48" xfId="1456" xr:uid="{00000000-0005-0000-0000-0000B1050000}"/>
    <cellStyle name="Normal 6 49" xfId="1457" xr:uid="{00000000-0005-0000-0000-0000B2050000}"/>
    <cellStyle name="Normal 6 5" xfId="1458" xr:uid="{00000000-0005-0000-0000-0000B3050000}"/>
    <cellStyle name="Normal 6 5 2" xfId="1459" xr:uid="{00000000-0005-0000-0000-0000B4050000}"/>
    <cellStyle name="Normal 6 50" xfId="1460" xr:uid="{00000000-0005-0000-0000-0000B5050000}"/>
    <cellStyle name="Normal 6 51" xfId="1461" xr:uid="{00000000-0005-0000-0000-0000B6050000}"/>
    <cellStyle name="Normal 6 52" xfId="1462" xr:uid="{00000000-0005-0000-0000-0000B7050000}"/>
    <cellStyle name="Normal 6 53" xfId="1463" xr:uid="{00000000-0005-0000-0000-0000B8050000}"/>
    <cellStyle name="Normal 6 54" xfId="1464" xr:uid="{00000000-0005-0000-0000-0000B9050000}"/>
    <cellStyle name="Normal 6 55" xfId="1465" xr:uid="{00000000-0005-0000-0000-0000BA050000}"/>
    <cellStyle name="Normal 6 56" xfId="1466" xr:uid="{00000000-0005-0000-0000-0000BB050000}"/>
    <cellStyle name="Normal 6 57" xfId="1467" xr:uid="{00000000-0005-0000-0000-0000BC050000}"/>
    <cellStyle name="Normal 6 58" xfId="1468" xr:uid="{00000000-0005-0000-0000-0000BD050000}"/>
    <cellStyle name="Normal 6 6" xfId="1469" xr:uid="{00000000-0005-0000-0000-0000BE050000}"/>
    <cellStyle name="Normal 6 6 2" xfId="1470" xr:uid="{00000000-0005-0000-0000-0000BF050000}"/>
    <cellStyle name="Normal 6 7" xfId="1471" xr:uid="{00000000-0005-0000-0000-0000C0050000}"/>
    <cellStyle name="Normal 6 7 2" xfId="1472" xr:uid="{00000000-0005-0000-0000-0000C1050000}"/>
    <cellStyle name="Normal 6 8" xfId="1473" xr:uid="{00000000-0005-0000-0000-0000C2050000}"/>
    <cellStyle name="Normal 6 8 2" xfId="1474" xr:uid="{00000000-0005-0000-0000-0000C3050000}"/>
    <cellStyle name="Normal 6 9" xfId="1475" xr:uid="{00000000-0005-0000-0000-0000C4050000}"/>
    <cellStyle name="Normal 6 9 2" xfId="1476" xr:uid="{00000000-0005-0000-0000-0000C5050000}"/>
    <cellStyle name="Normal 60" xfId="1477" xr:uid="{00000000-0005-0000-0000-0000C6050000}"/>
    <cellStyle name="Normal 60 2" xfId="1478" xr:uid="{00000000-0005-0000-0000-0000C7050000}"/>
    <cellStyle name="Normal 60 3" xfId="1479" xr:uid="{00000000-0005-0000-0000-0000C8050000}"/>
    <cellStyle name="Normal 60 3 2" xfId="1480" xr:uid="{00000000-0005-0000-0000-0000C9050000}"/>
    <cellStyle name="Normal 60 3 2 2" xfId="1481" xr:uid="{00000000-0005-0000-0000-0000CA050000}"/>
    <cellStyle name="Normal 60 3 2 2 2" xfId="1482" xr:uid="{00000000-0005-0000-0000-0000CB050000}"/>
    <cellStyle name="Normal 60 3 3" xfId="1483" xr:uid="{00000000-0005-0000-0000-0000CC050000}"/>
    <cellStyle name="Normal 61" xfId="1484" xr:uid="{00000000-0005-0000-0000-0000CD050000}"/>
    <cellStyle name="Normal 61 2" xfId="1485" xr:uid="{00000000-0005-0000-0000-0000CE050000}"/>
    <cellStyle name="Normal 61_ARQ-COMP" xfId="1486" xr:uid="{00000000-0005-0000-0000-0000CF050000}"/>
    <cellStyle name="Normal 62" xfId="1487" xr:uid="{00000000-0005-0000-0000-0000D0050000}"/>
    <cellStyle name="Normal 62 2" xfId="1488" xr:uid="{00000000-0005-0000-0000-0000D1050000}"/>
    <cellStyle name="Normal 62 3" xfId="1489" xr:uid="{00000000-0005-0000-0000-0000D2050000}"/>
    <cellStyle name="Normal 62 3 2" xfId="1490" xr:uid="{00000000-0005-0000-0000-0000D3050000}"/>
    <cellStyle name="Normal 62 3 3" xfId="1491" xr:uid="{00000000-0005-0000-0000-0000D4050000}"/>
    <cellStyle name="Normal 62 4" xfId="1492" xr:uid="{00000000-0005-0000-0000-0000D5050000}"/>
    <cellStyle name="Normal 62 5" xfId="1493" xr:uid="{00000000-0005-0000-0000-0000D6050000}"/>
    <cellStyle name="Normal 62_ARQ-COMP" xfId="1494" xr:uid="{00000000-0005-0000-0000-0000D7050000}"/>
    <cellStyle name="Normal 63" xfId="1495" xr:uid="{00000000-0005-0000-0000-0000D8050000}"/>
    <cellStyle name="Normal 63 2" xfId="1496" xr:uid="{00000000-0005-0000-0000-0000D9050000}"/>
    <cellStyle name="Normal 63 3" xfId="1497" xr:uid="{00000000-0005-0000-0000-0000DA050000}"/>
    <cellStyle name="Normal 63 4" xfId="1498" xr:uid="{00000000-0005-0000-0000-0000DB050000}"/>
    <cellStyle name="Normal 63 5" xfId="1499" xr:uid="{00000000-0005-0000-0000-0000DC050000}"/>
    <cellStyle name="Normal 63_ARQ-COMP" xfId="1500" xr:uid="{00000000-0005-0000-0000-0000DD050000}"/>
    <cellStyle name="Normal 64" xfId="1501" xr:uid="{00000000-0005-0000-0000-0000DE050000}"/>
    <cellStyle name="Normal 64 2" xfId="1502" xr:uid="{00000000-0005-0000-0000-0000DF050000}"/>
    <cellStyle name="Normal 64 3" xfId="1503" xr:uid="{00000000-0005-0000-0000-0000E0050000}"/>
    <cellStyle name="Normal 64_ARQ-COMP" xfId="1504" xr:uid="{00000000-0005-0000-0000-0000E1050000}"/>
    <cellStyle name="Normal 65" xfId="1505" xr:uid="{00000000-0005-0000-0000-0000E2050000}"/>
    <cellStyle name="Normal 65 2" xfId="1506" xr:uid="{00000000-0005-0000-0000-0000E3050000}"/>
    <cellStyle name="Normal 65 3" xfId="1507" xr:uid="{00000000-0005-0000-0000-0000E4050000}"/>
    <cellStyle name="Normal 65_ARQ-COMP" xfId="1508" xr:uid="{00000000-0005-0000-0000-0000E5050000}"/>
    <cellStyle name="Normal 66" xfId="1509" xr:uid="{00000000-0005-0000-0000-0000E6050000}"/>
    <cellStyle name="Normal 66 2" xfId="1510" xr:uid="{00000000-0005-0000-0000-0000E7050000}"/>
    <cellStyle name="Normal 66 3" xfId="1511" xr:uid="{00000000-0005-0000-0000-0000E8050000}"/>
    <cellStyle name="Normal 66_ARQ-COMP" xfId="1512" xr:uid="{00000000-0005-0000-0000-0000E9050000}"/>
    <cellStyle name="Normal 67" xfId="1513" xr:uid="{00000000-0005-0000-0000-0000EA050000}"/>
    <cellStyle name="Normal 67 2" xfId="1514" xr:uid="{00000000-0005-0000-0000-0000EB050000}"/>
    <cellStyle name="Normal 67 2 2" xfId="1515" xr:uid="{00000000-0005-0000-0000-0000EC050000}"/>
    <cellStyle name="Normal 67 2 2 2" xfId="1516" xr:uid="{00000000-0005-0000-0000-0000ED050000}"/>
    <cellStyle name="Normal 67 2 3" xfId="1517" xr:uid="{00000000-0005-0000-0000-0000EE050000}"/>
    <cellStyle name="Normal 67 2 3 2" xfId="1518" xr:uid="{00000000-0005-0000-0000-0000EF050000}"/>
    <cellStyle name="Normal 67 3" xfId="1519" xr:uid="{00000000-0005-0000-0000-0000F0050000}"/>
    <cellStyle name="Normal 67_CAB-COMP" xfId="1520" xr:uid="{00000000-0005-0000-0000-0000F1050000}"/>
    <cellStyle name="Normal 68" xfId="1521" xr:uid="{00000000-0005-0000-0000-0000F2050000}"/>
    <cellStyle name="Normal 68 2" xfId="1522" xr:uid="{00000000-0005-0000-0000-0000F3050000}"/>
    <cellStyle name="Normal 68 3" xfId="1523" xr:uid="{00000000-0005-0000-0000-0000F4050000}"/>
    <cellStyle name="Normal 68_CAB-COMP" xfId="1524" xr:uid="{00000000-0005-0000-0000-0000F5050000}"/>
    <cellStyle name="Normal 69" xfId="1525" xr:uid="{00000000-0005-0000-0000-0000F6050000}"/>
    <cellStyle name="Normal 69 2" xfId="1526" xr:uid="{00000000-0005-0000-0000-0000F7050000}"/>
    <cellStyle name="Normal 69 3" xfId="1527" xr:uid="{00000000-0005-0000-0000-0000F8050000}"/>
    <cellStyle name="Normal 69 4" xfId="1528" xr:uid="{00000000-0005-0000-0000-0000F9050000}"/>
    <cellStyle name="Normal 69 5" xfId="1529" xr:uid="{00000000-0005-0000-0000-0000FA050000}"/>
    <cellStyle name="Normal 69 6" xfId="1530" xr:uid="{00000000-0005-0000-0000-0000FB050000}"/>
    <cellStyle name="Normal 69 7" xfId="1531" xr:uid="{00000000-0005-0000-0000-0000FC050000}"/>
    <cellStyle name="Normal 69 8" xfId="1532" xr:uid="{00000000-0005-0000-0000-0000FD050000}"/>
    <cellStyle name="Normal 69_CAB-COMP" xfId="1533" xr:uid="{00000000-0005-0000-0000-0000FE050000}"/>
    <cellStyle name="Normal 7" xfId="1534" xr:uid="{00000000-0005-0000-0000-0000FF050000}"/>
    <cellStyle name="Normal 7 2" xfId="1535" xr:uid="{00000000-0005-0000-0000-000000060000}"/>
    <cellStyle name="Normal 7 3" xfId="2227" xr:uid="{D162EB56-53C1-4397-9FFC-9D746E5C130F}"/>
    <cellStyle name="Normal 70" xfId="1536" xr:uid="{00000000-0005-0000-0000-000001060000}"/>
    <cellStyle name="Normal 70 2" xfId="1537" xr:uid="{00000000-0005-0000-0000-000002060000}"/>
    <cellStyle name="Normal 70 3" xfId="1538" xr:uid="{00000000-0005-0000-0000-000003060000}"/>
    <cellStyle name="Normal 70 4" xfId="1539" xr:uid="{00000000-0005-0000-0000-000004060000}"/>
    <cellStyle name="Normal 70 5" xfId="1540" xr:uid="{00000000-0005-0000-0000-000005060000}"/>
    <cellStyle name="Normal 70 6" xfId="1541" xr:uid="{00000000-0005-0000-0000-000006060000}"/>
    <cellStyle name="Normal 70 7" xfId="1542" xr:uid="{00000000-0005-0000-0000-000007060000}"/>
    <cellStyle name="Normal 70 8" xfId="1543" xr:uid="{00000000-0005-0000-0000-000008060000}"/>
    <cellStyle name="Normal 70_CAB-COMP" xfId="1544" xr:uid="{00000000-0005-0000-0000-000009060000}"/>
    <cellStyle name="Normal 71" xfId="1545" xr:uid="{00000000-0005-0000-0000-00000A060000}"/>
    <cellStyle name="Normal 71 2" xfId="1546" xr:uid="{00000000-0005-0000-0000-00000B060000}"/>
    <cellStyle name="Normal 71 3" xfId="1547" xr:uid="{00000000-0005-0000-0000-00000C060000}"/>
    <cellStyle name="Normal 71 4" xfId="1548" xr:uid="{00000000-0005-0000-0000-00000D060000}"/>
    <cellStyle name="Normal 71 5" xfId="1549" xr:uid="{00000000-0005-0000-0000-00000E060000}"/>
    <cellStyle name="Normal 71 6" xfId="1550" xr:uid="{00000000-0005-0000-0000-00000F060000}"/>
    <cellStyle name="Normal 71 7" xfId="1551" xr:uid="{00000000-0005-0000-0000-000010060000}"/>
    <cellStyle name="Normal 71 8" xfId="1552" xr:uid="{00000000-0005-0000-0000-000011060000}"/>
    <cellStyle name="Normal 71_CAB-COMP" xfId="1553" xr:uid="{00000000-0005-0000-0000-000012060000}"/>
    <cellStyle name="Normal 72" xfId="1554" xr:uid="{00000000-0005-0000-0000-000013060000}"/>
    <cellStyle name="Normal 73" xfId="1555" xr:uid="{00000000-0005-0000-0000-000014060000}"/>
    <cellStyle name="Normal 73 2" xfId="1556" xr:uid="{00000000-0005-0000-0000-000015060000}"/>
    <cellStyle name="Normal 73 3" xfId="1557" xr:uid="{00000000-0005-0000-0000-000016060000}"/>
    <cellStyle name="Normal 73 4" xfId="1558" xr:uid="{00000000-0005-0000-0000-000017060000}"/>
    <cellStyle name="Normal 74" xfId="1559" xr:uid="{00000000-0005-0000-0000-000018060000}"/>
    <cellStyle name="Normal 74 2" xfId="1560" xr:uid="{00000000-0005-0000-0000-000019060000}"/>
    <cellStyle name="Normal 74 3" xfId="1561" xr:uid="{00000000-0005-0000-0000-00001A060000}"/>
    <cellStyle name="Normal 74 4" xfId="1562" xr:uid="{00000000-0005-0000-0000-00001B060000}"/>
    <cellStyle name="Normal 75" xfId="1563" xr:uid="{00000000-0005-0000-0000-00001C060000}"/>
    <cellStyle name="Normal 75 2" xfId="1564" xr:uid="{00000000-0005-0000-0000-00001D060000}"/>
    <cellStyle name="Normal 75 3" xfId="1565" xr:uid="{00000000-0005-0000-0000-00001E060000}"/>
    <cellStyle name="Normal 75 4" xfId="1566" xr:uid="{00000000-0005-0000-0000-00001F060000}"/>
    <cellStyle name="Normal 76" xfId="1567" xr:uid="{00000000-0005-0000-0000-000020060000}"/>
    <cellStyle name="Normal 76 2" xfId="1568" xr:uid="{00000000-0005-0000-0000-000021060000}"/>
    <cellStyle name="Normal 76 3" xfId="1569" xr:uid="{00000000-0005-0000-0000-000022060000}"/>
    <cellStyle name="Normal 76 4" xfId="1570" xr:uid="{00000000-0005-0000-0000-000023060000}"/>
    <cellStyle name="Normal 77" xfId="1571" xr:uid="{00000000-0005-0000-0000-000024060000}"/>
    <cellStyle name="Normal 77 2" xfId="1572" xr:uid="{00000000-0005-0000-0000-000025060000}"/>
    <cellStyle name="Normal 77 3" xfId="1573" xr:uid="{00000000-0005-0000-0000-000026060000}"/>
    <cellStyle name="Normal 77 4" xfId="1574" xr:uid="{00000000-0005-0000-0000-000027060000}"/>
    <cellStyle name="Normal 78" xfId="1575" xr:uid="{00000000-0005-0000-0000-000028060000}"/>
    <cellStyle name="Normal 78 2" xfId="1576" xr:uid="{00000000-0005-0000-0000-000029060000}"/>
    <cellStyle name="Normal 78 3" xfId="1577" xr:uid="{00000000-0005-0000-0000-00002A060000}"/>
    <cellStyle name="Normal 78 4" xfId="1578" xr:uid="{00000000-0005-0000-0000-00002B060000}"/>
    <cellStyle name="Normal 79" xfId="1579" xr:uid="{00000000-0005-0000-0000-00002C060000}"/>
    <cellStyle name="Normal 79 2" xfId="1580" xr:uid="{00000000-0005-0000-0000-00002D060000}"/>
    <cellStyle name="Normal 79 3" xfId="1581" xr:uid="{00000000-0005-0000-0000-00002E060000}"/>
    <cellStyle name="Normal 79 4" xfId="1582" xr:uid="{00000000-0005-0000-0000-00002F060000}"/>
    <cellStyle name="Normal 8" xfId="1583" xr:uid="{00000000-0005-0000-0000-000030060000}"/>
    <cellStyle name="Normal 8 2" xfId="1584" xr:uid="{00000000-0005-0000-0000-000031060000}"/>
    <cellStyle name="Normal 80" xfId="1585" xr:uid="{00000000-0005-0000-0000-000032060000}"/>
    <cellStyle name="Normal 80 2" xfId="1586" xr:uid="{00000000-0005-0000-0000-000033060000}"/>
    <cellStyle name="Normal 80 3" xfId="1587" xr:uid="{00000000-0005-0000-0000-000034060000}"/>
    <cellStyle name="Normal 80 4" xfId="1588" xr:uid="{00000000-0005-0000-0000-000035060000}"/>
    <cellStyle name="Normal 81" xfId="1589" xr:uid="{00000000-0005-0000-0000-000036060000}"/>
    <cellStyle name="Normal 81 2" xfId="1590" xr:uid="{00000000-0005-0000-0000-000037060000}"/>
    <cellStyle name="Normal 81 3" xfId="1591" xr:uid="{00000000-0005-0000-0000-000038060000}"/>
    <cellStyle name="Normal 81 4" xfId="1592" xr:uid="{00000000-0005-0000-0000-000039060000}"/>
    <cellStyle name="Normal 82" xfId="1593" xr:uid="{00000000-0005-0000-0000-00003A060000}"/>
    <cellStyle name="Normal 82 2" xfId="1594" xr:uid="{00000000-0005-0000-0000-00003B060000}"/>
    <cellStyle name="Normal 82 3" xfId="1595" xr:uid="{00000000-0005-0000-0000-00003C060000}"/>
    <cellStyle name="Normal 82 4" xfId="1596" xr:uid="{00000000-0005-0000-0000-00003D060000}"/>
    <cellStyle name="Normal 83" xfId="1597" xr:uid="{00000000-0005-0000-0000-00003E060000}"/>
    <cellStyle name="Normal 83 2" xfId="1598" xr:uid="{00000000-0005-0000-0000-00003F060000}"/>
    <cellStyle name="Normal 83 3" xfId="1599" xr:uid="{00000000-0005-0000-0000-000040060000}"/>
    <cellStyle name="Normal 83 4" xfId="1600" xr:uid="{00000000-0005-0000-0000-000041060000}"/>
    <cellStyle name="Normal 84" xfId="1601" xr:uid="{00000000-0005-0000-0000-000042060000}"/>
    <cellStyle name="Normal 84 2" xfId="1602" xr:uid="{00000000-0005-0000-0000-000043060000}"/>
    <cellStyle name="Normal 84 3" xfId="1603" xr:uid="{00000000-0005-0000-0000-000044060000}"/>
    <cellStyle name="Normal 84 4" xfId="1604" xr:uid="{00000000-0005-0000-0000-000045060000}"/>
    <cellStyle name="Normal 85" xfId="1605" xr:uid="{00000000-0005-0000-0000-000046060000}"/>
    <cellStyle name="Normal 86" xfId="1606" xr:uid="{00000000-0005-0000-0000-000047060000}"/>
    <cellStyle name="Normal 87" xfId="1607" xr:uid="{00000000-0005-0000-0000-000048060000}"/>
    <cellStyle name="Normal 88" xfId="1608" xr:uid="{00000000-0005-0000-0000-000049060000}"/>
    <cellStyle name="Normal 89" xfId="1609" xr:uid="{00000000-0005-0000-0000-00004A060000}"/>
    <cellStyle name="Normal 9" xfId="1610" xr:uid="{00000000-0005-0000-0000-00004B060000}"/>
    <cellStyle name="Normal 9 2" xfId="1611" xr:uid="{00000000-0005-0000-0000-00004C060000}"/>
    <cellStyle name="Normal 90" xfId="1612" xr:uid="{00000000-0005-0000-0000-00004D060000}"/>
    <cellStyle name="Normal 91" xfId="1613" xr:uid="{00000000-0005-0000-0000-00004E060000}"/>
    <cellStyle name="Normal 92" xfId="1614" xr:uid="{00000000-0005-0000-0000-00004F060000}"/>
    <cellStyle name="Normal 93" xfId="1615" xr:uid="{00000000-0005-0000-0000-000050060000}"/>
    <cellStyle name="Nota" xfId="1616" builtinId="10" customBuiltin="1"/>
    <cellStyle name="Nota 2" xfId="1617" xr:uid="{00000000-0005-0000-0000-000052060000}"/>
    <cellStyle name="Nota 2 2" xfId="1618" xr:uid="{00000000-0005-0000-0000-000053060000}"/>
    <cellStyle name="Nota 2 2 2" xfId="1619" xr:uid="{00000000-0005-0000-0000-000054060000}"/>
    <cellStyle name="Nota 2 2 3" xfId="1620" xr:uid="{00000000-0005-0000-0000-000055060000}"/>
    <cellStyle name="Nota 2 2 4" xfId="1621" xr:uid="{00000000-0005-0000-0000-000056060000}"/>
    <cellStyle name="Nota 2 3" xfId="1622" xr:uid="{00000000-0005-0000-0000-000057060000}"/>
    <cellStyle name="Nota 2 3 2" xfId="1623" xr:uid="{00000000-0005-0000-0000-000058060000}"/>
    <cellStyle name="Nota 2 3 3" xfId="1624" xr:uid="{00000000-0005-0000-0000-000059060000}"/>
    <cellStyle name="Nota 2 3 4" xfId="1625" xr:uid="{00000000-0005-0000-0000-00005A060000}"/>
    <cellStyle name="Nota 2 4" xfId="1626" xr:uid="{00000000-0005-0000-0000-00005B060000}"/>
    <cellStyle name="Nota 2 5" xfId="1627" xr:uid="{00000000-0005-0000-0000-00005C060000}"/>
    <cellStyle name="Nota 2_CAB-COMP" xfId="1628" xr:uid="{00000000-0005-0000-0000-00005D060000}"/>
    <cellStyle name="Nota 3" xfId="1629" xr:uid="{00000000-0005-0000-0000-00005E060000}"/>
    <cellStyle name="Nota 3 2" xfId="1630" xr:uid="{00000000-0005-0000-0000-00005F060000}"/>
    <cellStyle name="Nota 3 3" xfId="1631" xr:uid="{00000000-0005-0000-0000-000060060000}"/>
    <cellStyle name="Nota 3 4" xfId="1632" xr:uid="{00000000-0005-0000-0000-000061060000}"/>
    <cellStyle name="Nota 3 5" xfId="1633" xr:uid="{00000000-0005-0000-0000-000062060000}"/>
    <cellStyle name="Nota 3 5 2" xfId="1634" xr:uid="{00000000-0005-0000-0000-000063060000}"/>
    <cellStyle name="Nota 3 5 3" xfId="1635" xr:uid="{00000000-0005-0000-0000-000064060000}"/>
    <cellStyle name="Nota 3 5 4" xfId="1636" xr:uid="{00000000-0005-0000-0000-000065060000}"/>
    <cellStyle name="Nota 3 6" xfId="1637" xr:uid="{00000000-0005-0000-0000-000066060000}"/>
    <cellStyle name="Nota 3 6 2" xfId="1638" xr:uid="{00000000-0005-0000-0000-000067060000}"/>
    <cellStyle name="Nota 3 6 3" xfId="1639" xr:uid="{00000000-0005-0000-0000-000068060000}"/>
    <cellStyle name="Nota 3 7" xfId="1640" xr:uid="{00000000-0005-0000-0000-000069060000}"/>
    <cellStyle name="Nota 3 8" xfId="1641" xr:uid="{00000000-0005-0000-0000-00006A060000}"/>
    <cellStyle name="Note" xfId="1642" xr:uid="{00000000-0005-0000-0000-00006B060000}"/>
    <cellStyle name="Note 2" xfId="1643" xr:uid="{00000000-0005-0000-0000-00006C060000}"/>
    <cellStyle name="Note 3" xfId="1644" xr:uid="{00000000-0005-0000-0000-00006D060000}"/>
    <cellStyle name="Note 4" xfId="1645" xr:uid="{00000000-0005-0000-0000-00006E060000}"/>
    <cellStyle name="Output" xfId="1646" xr:uid="{00000000-0005-0000-0000-00006F060000}"/>
    <cellStyle name="Output 2" xfId="1647" xr:uid="{00000000-0005-0000-0000-000070060000}"/>
    <cellStyle name="Output 3" xfId="1648" xr:uid="{00000000-0005-0000-0000-000071060000}"/>
    <cellStyle name="Output 4" xfId="1649" xr:uid="{00000000-0005-0000-0000-000072060000}"/>
    <cellStyle name="planilhas" xfId="1650" xr:uid="{00000000-0005-0000-0000-000073060000}"/>
    <cellStyle name="planilhas 10" xfId="1651" xr:uid="{00000000-0005-0000-0000-000074060000}"/>
    <cellStyle name="planilhas 10 2" xfId="1652" xr:uid="{00000000-0005-0000-0000-000075060000}"/>
    <cellStyle name="planilhas 11" xfId="1653" xr:uid="{00000000-0005-0000-0000-000076060000}"/>
    <cellStyle name="planilhas 11 2" xfId="1654" xr:uid="{00000000-0005-0000-0000-000077060000}"/>
    <cellStyle name="planilhas 12" xfId="1655" xr:uid="{00000000-0005-0000-0000-000078060000}"/>
    <cellStyle name="planilhas 12 2" xfId="1656" xr:uid="{00000000-0005-0000-0000-000079060000}"/>
    <cellStyle name="planilhas 13" xfId="1657" xr:uid="{00000000-0005-0000-0000-00007A060000}"/>
    <cellStyle name="planilhas 13 2" xfId="1658" xr:uid="{00000000-0005-0000-0000-00007B060000}"/>
    <cellStyle name="planilhas 14" xfId="1659" xr:uid="{00000000-0005-0000-0000-00007C060000}"/>
    <cellStyle name="planilhas 14 2" xfId="1660" xr:uid="{00000000-0005-0000-0000-00007D060000}"/>
    <cellStyle name="planilhas 15" xfId="1661" xr:uid="{00000000-0005-0000-0000-00007E060000}"/>
    <cellStyle name="planilhas 15 2" xfId="1662" xr:uid="{00000000-0005-0000-0000-00007F060000}"/>
    <cellStyle name="planilhas 16" xfId="1663" xr:uid="{00000000-0005-0000-0000-000080060000}"/>
    <cellStyle name="planilhas 16 2" xfId="1664" xr:uid="{00000000-0005-0000-0000-000081060000}"/>
    <cellStyle name="planilhas 17" xfId="1665" xr:uid="{00000000-0005-0000-0000-000082060000}"/>
    <cellStyle name="planilhas 17 2" xfId="1666" xr:uid="{00000000-0005-0000-0000-000083060000}"/>
    <cellStyle name="planilhas 18" xfId="1667" xr:uid="{00000000-0005-0000-0000-000084060000}"/>
    <cellStyle name="planilhas 18 2" xfId="1668" xr:uid="{00000000-0005-0000-0000-000085060000}"/>
    <cellStyle name="planilhas 19" xfId="1669" xr:uid="{00000000-0005-0000-0000-000086060000}"/>
    <cellStyle name="planilhas 19 2" xfId="1670" xr:uid="{00000000-0005-0000-0000-000087060000}"/>
    <cellStyle name="planilhas 2" xfId="1671" xr:uid="{00000000-0005-0000-0000-000088060000}"/>
    <cellStyle name="planilhas 2 2" xfId="1672" xr:uid="{00000000-0005-0000-0000-000089060000}"/>
    <cellStyle name="planilhas 20" xfId="1673" xr:uid="{00000000-0005-0000-0000-00008A060000}"/>
    <cellStyle name="planilhas 20 2" xfId="1674" xr:uid="{00000000-0005-0000-0000-00008B060000}"/>
    <cellStyle name="planilhas 21" xfId="1675" xr:uid="{00000000-0005-0000-0000-00008C060000}"/>
    <cellStyle name="planilhas 21 2" xfId="1676" xr:uid="{00000000-0005-0000-0000-00008D060000}"/>
    <cellStyle name="planilhas 22" xfId="1677" xr:uid="{00000000-0005-0000-0000-00008E060000}"/>
    <cellStyle name="planilhas 22 2" xfId="1678" xr:uid="{00000000-0005-0000-0000-00008F060000}"/>
    <cellStyle name="planilhas 23" xfId="1679" xr:uid="{00000000-0005-0000-0000-000090060000}"/>
    <cellStyle name="planilhas 3" xfId="1680" xr:uid="{00000000-0005-0000-0000-000091060000}"/>
    <cellStyle name="planilhas 3 2" xfId="1681" xr:uid="{00000000-0005-0000-0000-000092060000}"/>
    <cellStyle name="planilhas 4" xfId="1682" xr:uid="{00000000-0005-0000-0000-000093060000}"/>
    <cellStyle name="planilhas 4 2" xfId="1683" xr:uid="{00000000-0005-0000-0000-000094060000}"/>
    <cellStyle name="planilhas 5" xfId="1684" xr:uid="{00000000-0005-0000-0000-000095060000}"/>
    <cellStyle name="planilhas 5 2" xfId="1685" xr:uid="{00000000-0005-0000-0000-000096060000}"/>
    <cellStyle name="planilhas 6" xfId="1686" xr:uid="{00000000-0005-0000-0000-000097060000}"/>
    <cellStyle name="planilhas 6 2" xfId="1687" xr:uid="{00000000-0005-0000-0000-000098060000}"/>
    <cellStyle name="planilhas 7" xfId="1688" xr:uid="{00000000-0005-0000-0000-000099060000}"/>
    <cellStyle name="planilhas 7 2" xfId="1689" xr:uid="{00000000-0005-0000-0000-00009A060000}"/>
    <cellStyle name="planilhas 8" xfId="1690" xr:uid="{00000000-0005-0000-0000-00009B060000}"/>
    <cellStyle name="planilhas 8 2" xfId="1691" xr:uid="{00000000-0005-0000-0000-00009C060000}"/>
    <cellStyle name="planilhas 9" xfId="1692" xr:uid="{00000000-0005-0000-0000-00009D060000}"/>
    <cellStyle name="planilhas 9 2" xfId="1693" xr:uid="{00000000-0005-0000-0000-00009E060000}"/>
    <cellStyle name="Porcentagem" xfId="2226" builtinId="5"/>
    <cellStyle name="Porcentagem 10" xfId="1694" xr:uid="{00000000-0005-0000-0000-0000A0060000}"/>
    <cellStyle name="Porcentagem 10 2" xfId="1695" xr:uid="{00000000-0005-0000-0000-0000A1060000}"/>
    <cellStyle name="Porcentagem 11" xfId="1696" xr:uid="{00000000-0005-0000-0000-0000A2060000}"/>
    <cellStyle name="Porcentagem 11 2" xfId="1697" xr:uid="{00000000-0005-0000-0000-0000A3060000}"/>
    <cellStyle name="Porcentagem 12" xfId="1698" xr:uid="{00000000-0005-0000-0000-0000A4060000}"/>
    <cellStyle name="Porcentagem 12 2" xfId="1699" xr:uid="{00000000-0005-0000-0000-0000A5060000}"/>
    <cellStyle name="Porcentagem 13" xfId="1700" xr:uid="{00000000-0005-0000-0000-0000A6060000}"/>
    <cellStyle name="Porcentagem 13 2" xfId="1701" xr:uid="{00000000-0005-0000-0000-0000A7060000}"/>
    <cellStyle name="Porcentagem 13 3" xfId="1702" xr:uid="{00000000-0005-0000-0000-0000A8060000}"/>
    <cellStyle name="Porcentagem 14" xfId="1703" xr:uid="{00000000-0005-0000-0000-0000A9060000}"/>
    <cellStyle name="Porcentagem 14 2" xfId="1704" xr:uid="{00000000-0005-0000-0000-0000AA060000}"/>
    <cellStyle name="Porcentagem 14 3" xfId="1705" xr:uid="{00000000-0005-0000-0000-0000AB060000}"/>
    <cellStyle name="Porcentagem 14 3 2" xfId="1706" xr:uid="{00000000-0005-0000-0000-0000AC060000}"/>
    <cellStyle name="Porcentagem 14 3 2 2" xfId="1707" xr:uid="{00000000-0005-0000-0000-0000AD060000}"/>
    <cellStyle name="Porcentagem 14 3 2 2 2" xfId="1708" xr:uid="{00000000-0005-0000-0000-0000AE060000}"/>
    <cellStyle name="Porcentagem 14 3 2 3" xfId="1709" xr:uid="{00000000-0005-0000-0000-0000AF060000}"/>
    <cellStyle name="Porcentagem 14 3 2 3 2" xfId="1710" xr:uid="{00000000-0005-0000-0000-0000B0060000}"/>
    <cellStyle name="Porcentagem 14 3 3" xfId="1711" xr:uid="{00000000-0005-0000-0000-0000B1060000}"/>
    <cellStyle name="Porcentagem 14 3 3 2" xfId="1712" xr:uid="{00000000-0005-0000-0000-0000B2060000}"/>
    <cellStyle name="Porcentagem 14 3 4" xfId="1713" xr:uid="{00000000-0005-0000-0000-0000B3060000}"/>
    <cellStyle name="Porcentagem 15" xfId="1714" xr:uid="{00000000-0005-0000-0000-0000B4060000}"/>
    <cellStyle name="Porcentagem 15 2" xfId="1715" xr:uid="{00000000-0005-0000-0000-0000B5060000}"/>
    <cellStyle name="Porcentagem 16" xfId="1716" xr:uid="{00000000-0005-0000-0000-0000B6060000}"/>
    <cellStyle name="Porcentagem 16 2" xfId="1717" xr:uid="{00000000-0005-0000-0000-0000B7060000}"/>
    <cellStyle name="Porcentagem 16 3" xfId="1718" xr:uid="{00000000-0005-0000-0000-0000B8060000}"/>
    <cellStyle name="Porcentagem 16 3 2" xfId="1719" xr:uid="{00000000-0005-0000-0000-0000B9060000}"/>
    <cellStyle name="Porcentagem 16 3 2 2" xfId="1720" xr:uid="{00000000-0005-0000-0000-0000BA060000}"/>
    <cellStyle name="Porcentagem 16 3 2 2 2" xfId="1721" xr:uid="{00000000-0005-0000-0000-0000BB060000}"/>
    <cellStyle name="Porcentagem 16 3 3" xfId="1722" xr:uid="{00000000-0005-0000-0000-0000BC060000}"/>
    <cellStyle name="Porcentagem 16 3 4" xfId="1723" xr:uid="{00000000-0005-0000-0000-0000BD060000}"/>
    <cellStyle name="Porcentagem 17" xfId="1724" xr:uid="{00000000-0005-0000-0000-0000BE060000}"/>
    <cellStyle name="Porcentagem 17 2" xfId="1725" xr:uid="{00000000-0005-0000-0000-0000BF060000}"/>
    <cellStyle name="Porcentagem 18" xfId="1726" xr:uid="{00000000-0005-0000-0000-0000C0060000}"/>
    <cellStyle name="Porcentagem 18 2" xfId="1727" xr:uid="{00000000-0005-0000-0000-0000C1060000}"/>
    <cellStyle name="Porcentagem 18 3" xfId="1728" xr:uid="{00000000-0005-0000-0000-0000C2060000}"/>
    <cellStyle name="Porcentagem 19" xfId="1729" xr:uid="{00000000-0005-0000-0000-0000C3060000}"/>
    <cellStyle name="Porcentagem 19 2" xfId="1730" xr:uid="{00000000-0005-0000-0000-0000C4060000}"/>
    <cellStyle name="Porcentagem 19 2 2" xfId="1731" xr:uid="{00000000-0005-0000-0000-0000C5060000}"/>
    <cellStyle name="Porcentagem 19 2 2 2" xfId="1732" xr:uid="{00000000-0005-0000-0000-0000C6060000}"/>
    <cellStyle name="Porcentagem 19 3" xfId="1733" xr:uid="{00000000-0005-0000-0000-0000C7060000}"/>
    <cellStyle name="Porcentagem 19 4" xfId="1734" xr:uid="{00000000-0005-0000-0000-0000C8060000}"/>
    <cellStyle name="Porcentagem 2" xfId="1735" xr:uid="{00000000-0005-0000-0000-0000C9060000}"/>
    <cellStyle name="Porcentagem 2 2" xfId="1736" xr:uid="{00000000-0005-0000-0000-0000CA060000}"/>
    <cellStyle name="Porcentagem 2 2 2" xfId="1737" xr:uid="{00000000-0005-0000-0000-0000CB060000}"/>
    <cellStyle name="Porcentagem 2 2 3" xfId="1738" xr:uid="{00000000-0005-0000-0000-0000CC060000}"/>
    <cellStyle name="Porcentagem 2 3" xfId="1739" xr:uid="{00000000-0005-0000-0000-0000CD060000}"/>
    <cellStyle name="Porcentagem 2 3 2" xfId="1740" xr:uid="{00000000-0005-0000-0000-0000CE060000}"/>
    <cellStyle name="Porcentagem 2 4" xfId="1741" xr:uid="{00000000-0005-0000-0000-0000CF060000}"/>
    <cellStyle name="Porcentagem 2 5" xfId="1742" xr:uid="{00000000-0005-0000-0000-0000D0060000}"/>
    <cellStyle name="Porcentagem 2 6" xfId="1743" xr:uid="{00000000-0005-0000-0000-0000D1060000}"/>
    <cellStyle name="Porcentagem 2 7" xfId="1744" xr:uid="{00000000-0005-0000-0000-0000D2060000}"/>
    <cellStyle name="Porcentagem 2 8" xfId="1745" xr:uid="{00000000-0005-0000-0000-0000D3060000}"/>
    <cellStyle name="Porcentagem 2 8 2" xfId="1746" xr:uid="{00000000-0005-0000-0000-0000D4060000}"/>
    <cellStyle name="Porcentagem 20" xfId="1747" xr:uid="{00000000-0005-0000-0000-0000D5060000}"/>
    <cellStyle name="Porcentagem 20 2" xfId="1748" xr:uid="{00000000-0005-0000-0000-0000D6060000}"/>
    <cellStyle name="Porcentagem 20 3" xfId="1749" xr:uid="{00000000-0005-0000-0000-0000D7060000}"/>
    <cellStyle name="Porcentagem 20 4" xfId="1750" xr:uid="{00000000-0005-0000-0000-0000D8060000}"/>
    <cellStyle name="Porcentagem 20 5" xfId="1751" xr:uid="{00000000-0005-0000-0000-0000D9060000}"/>
    <cellStyle name="Porcentagem 20 6" xfId="1752" xr:uid="{00000000-0005-0000-0000-0000DA060000}"/>
    <cellStyle name="Porcentagem 20 7" xfId="1753" xr:uid="{00000000-0005-0000-0000-0000DB060000}"/>
    <cellStyle name="Porcentagem 20 8" xfId="1754" xr:uid="{00000000-0005-0000-0000-0000DC060000}"/>
    <cellStyle name="Porcentagem 3" xfId="1755" xr:uid="{00000000-0005-0000-0000-0000DD060000}"/>
    <cellStyle name="Porcentagem 3 10" xfId="1756" xr:uid="{00000000-0005-0000-0000-0000DE060000}"/>
    <cellStyle name="Porcentagem 3 10 2" xfId="1757" xr:uid="{00000000-0005-0000-0000-0000DF060000}"/>
    <cellStyle name="Porcentagem 3 11" xfId="1758" xr:uid="{00000000-0005-0000-0000-0000E0060000}"/>
    <cellStyle name="Porcentagem 3 11 2" xfId="1759" xr:uid="{00000000-0005-0000-0000-0000E1060000}"/>
    <cellStyle name="Porcentagem 3 12" xfId="1760" xr:uid="{00000000-0005-0000-0000-0000E2060000}"/>
    <cellStyle name="Porcentagem 3 12 2" xfId="1761" xr:uid="{00000000-0005-0000-0000-0000E3060000}"/>
    <cellStyle name="Porcentagem 3 13" xfId="1762" xr:uid="{00000000-0005-0000-0000-0000E4060000}"/>
    <cellStyle name="Porcentagem 3 14" xfId="1763" xr:uid="{00000000-0005-0000-0000-0000E5060000}"/>
    <cellStyle name="Porcentagem 3 2" xfId="1764" xr:uid="{00000000-0005-0000-0000-0000E6060000}"/>
    <cellStyle name="Porcentagem 3 2 2" xfId="1765" xr:uid="{00000000-0005-0000-0000-0000E7060000}"/>
    <cellStyle name="Porcentagem 3 2 3" xfId="1766" xr:uid="{00000000-0005-0000-0000-0000E8060000}"/>
    <cellStyle name="Porcentagem 3 3" xfId="1767" xr:uid="{00000000-0005-0000-0000-0000E9060000}"/>
    <cellStyle name="Porcentagem 3 3 2" xfId="1768" xr:uid="{00000000-0005-0000-0000-0000EA060000}"/>
    <cellStyle name="Porcentagem 3 4" xfId="1769" xr:uid="{00000000-0005-0000-0000-0000EB060000}"/>
    <cellStyle name="Porcentagem 3 4 2" xfId="1770" xr:uid="{00000000-0005-0000-0000-0000EC060000}"/>
    <cellStyle name="Porcentagem 3 5" xfId="1771" xr:uid="{00000000-0005-0000-0000-0000ED060000}"/>
    <cellStyle name="Porcentagem 3 5 2" xfId="1772" xr:uid="{00000000-0005-0000-0000-0000EE060000}"/>
    <cellStyle name="Porcentagem 3 6" xfId="1773" xr:uid="{00000000-0005-0000-0000-0000EF060000}"/>
    <cellStyle name="Porcentagem 3 6 2" xfId="1774" xr:uid="{00000000-0005-0000-0000-0000F0060000}"/>
    <cellStyle name="Porcentagem 3 7" xfId="1775" xr:uid="{00000000-0005-0000-0000-0000F1060000}"/>
    <cellStyle name="Porcentagem 3 7 2" xfId="1776" xr:uid="{00000000-0005-0000-0000-0000F2060000}"/>
    <cellStyle name="Porcentagem 3 8" xfId="1777" xr:uid="{00000000-0005-0000-0000-0000F3060000}"/>
    <cellStyle name="Porcentagem 3 8 2" xfId="1778" xr:uid="{00000000-0005-0000-0000-0000F4060000}"/>
    <cellStyle name="Porcentagem 3 9" xfId="1779" xr:uid="{00000000-0005-0000-0000-0000F5060000}"/>
    <cellStyle name="Porcentagem 3 9 2" xfId="1780" xr:uid="{00000000-0005-0000-0000-0000F6060000}"/>
    <cellStyle name="Porcentagem 4" xfId="1781" xr:uid="{00000000-0005-0000-0000-0000F7060000}"/>
    <cellStyle name="Porcentagem 4 10" xfId="1782" xr:uid="{00000000-0005-0000-0000-0000F8060000}"/>
    <cellStyle name="Porcentagem 4 10 2" xfId="1783" xr:uid="{00000000-0005-0000-0000-0000F9060000}"/>
    <cellStyle name="Porcentagem 4 11" xfId="1784" xr:uid="{00000000-0005-0000-0000-0000FA060000}"/>
    <cellStyle name="Porcentagem 4 12" xfId="1785" xr:uid="{00000000-0005-0000-0000-0000FB060000}"/>
    <cellStyle name="Porcentagem 4 2" xfId="1786" xr:uid="{00000000-0005-0000-0000-0000FC060000}"/>
    <cellStyle name="Porcentagem 4 2 2" xfId="1787" xr:uid="{00000000-0005-0000-0000-0000FD060000}"/>
    <cellStyle name="Porcentagem 4 3" xfId="1788" xr:uid="{00000000-0005-0000-0000-0000FE060000}"/>
    <cellStyle name="Porcentagem 4 3 2" xfId="1789" xr:uid="{00000000-0005-0000-0000-0000FF060000}"/>
    <cellStyle name="Porcentagem 4 4" xfId="1790" xr:uid="{00000000-0005-0000-0000-000000070000}"/>
    <cellStyle name="Porcentagem 4 4 2" xfId="1791" xr:uid="{00000000-0005-0000-0000-000001070000}"/>
    <cellStyle name="Porcentagem 4 5" xfId="1792" xr:uid="{00000000-0005-0000-0000-000002070000}"/>
    <cellStyle name="Porcentagem 4 5 2" xfId="1793" xr:uid="{00000000-0005-0000-0000-000003070000}"/>
    <cellStyle name="Porcentagem 4 6" xfId="1794" xr:uid="{00000000-0005-0000-0000-000004070000}"/>
    <cellStyle name="Porcentagem 4 6 2" xfId="1795" xr:uid="{00000000-0005-0000-0000-000005070000}"/>
    <cellStyle name="Porcentagem 4 7" xfId="1796" xr:uid="{00000000-0005-0000-0000-000006070000}"/>
    <cellStyle name="Porcentagem 4 7 2" xfId="1797" xr:uid="{00000000-0005-0000-0000-000007070000}"/>
    <cellStyle name="Porcentagem 4 8" xfId="1798" xr:uid="{00000000-0005-0000-0000-000008070000}"/>
    <cellStyle name="Porcentagem 4 8 2" xfId="1799" xr:uid="{00000000-0005-0000-0000-000009070000}"/>
    <cellStyle name="Porcentagem 4 9" xfId="1800" xr:uid="{00000000-0005-0000-0000-00000A070000}"/>
    <cellStyle name="Porcentagem 4 9 2" xfId="1801" xr:uid="{00000000-0005-0000-0000-00000B070000}"/>
    <cellStyle name="Porcentagem 5" xfId="1802" xr:uid="{00000000-0005-0000-0000-00000C070000}"/>
    <cellStyle name="Porcentagem 5 10" xfId="1803" xr:uid="{00000000-0005-0000-0000-00000D070000}"/>
    <cellStyle name="Porcentagem 5 10 2" xfId="1804" xr:uid="{00000000-0005-0000-0000-00000E070000}"/>
    <cellStyle name="Porcentagem 5 11" xfId="1805" xr:uid="{00000000-0005-0000-0000-00000F070000}"/>
    <cellStyle name="Porcentagem 5 11 2" xfId="1806" xr:uid="{00000000-0005-0000-0000-000010070000}"/>
    <cellStyle name="Porcentagem 5 12" xfId="1807" xr:uid="{00000000-0005-0000-0000-000011070000}"/>
    <cellStyle name="Porcentagem 5 2" xfId="1808" xr:uid="{00000000-0005-0000-0000-000012070000}"/>
    <cellStyle name="Porcentagem 5 2 2" xfId="1809" xr:uid="{00000000-0005-0000-0000-000013070000}"/>
    <cellStyle name="Porcentagem 5 3" xfId="1810" xr:uid="{00000000-0005-0000-0000-000014070000}"/>
    <cellStyle name="Porcentagem 5 3 2" xfId="1811" xr:uid="{00000000-0005-0000-0000-000015070000}"/>
    <cellStyle name="Porcentagem 5 4" xfId="1812" xr:uid="{00000000-0005-0000-0000-000016070000}"/>
    <cellStyle name="Porcentagem 5 4 2" xfId="1813" xr:uid="{00000000-0005-0000-0000-000017070000}"/>
    <cellStyle name="Porcentagem 5 5" xfId="1814" xr:uid="{00000000-0005-0000-0000-000018070000}"/>
    <cellStyle name="Porcentagem 5 5 2" xfId="1815" xr:uid="{00000000-0005-0000-0000-000019070000}"/>
    <cellStyle name="Porcentagem 5 6" xfId="1816" xr:uid="{00000000-0005-0000-0000-00001A070000}"/>
    <cellStyle name="Porcentagem 5 6 2" xfId="1817" xr:uid="{00000000-0005-0000-0000-00001B070000}"/>
    <cellStyle name="Porcentagem 5 7" xfId="1818" xr:uid="{00000000-0005-0000-0000-00001C070000}"/>
    <cellStyle name="Porcentagem 5 7 2" xfId="1819" xr:uid="{00000000-0005-0000-0000-00001D070000}"/>
    <cellStyle name="Porcentagem 5 8" xfId="1820" xr:uid="{00000000-0005-0000-0000-00001E070000}"/>
    <cellStyle name="Porcentagem 5 8 2" xfId="1821" xr:uid="{00000000-0005-0000-0000-00001F070000}"/>
    <cellStyle name="Porcentagem 5 9" xfId="1822" xr:uid="{00000000-0005-0000-0000-000020070000}"/>
    <cellStyle name="Porcentagem 5 9 2" xfId="1823" xr:uid="{00000000-0005-0000-0000-000021070000}"/>
    <cellStyle name="Porcentagem 6" xfId="1824" xr:uid="{00000000-0005-0000-0000-000022070000}"/>
    <cellStyle name="Porcentagem 6 2" xfId="1825" xr:uid="{00000000-0005-0000-0000-000023070000}"/>
    <cellStyle name="Porcentagem 7" xfId="1826" xr:uid="{00000000-0005-0000-0000-000024070000}"/>
    <cellStyle name="Porcentagem 7 2" xfId="1827" xr:uid="{00000000-0005-0000-0000-000025070000}"/>
    <cellStyle name="Porcentagem 8" xfId="1828" xr:uid="{00000000-0005-0000-0000-000026070000}"/>
    <cellStyle name="Porcentagem 8 2" xfId="1829" xr:uid="{00000000-0005-0000-0000-000027070000}"/>
    <cellStyle name="Porcentagem 9" xfId="1830" xr:uid="{00000000-0005-0000-0000-000028070000}"/>
    <cellStyle name="Porcentagem 9 2" xfId="1831" xr:uid="{00000000-0005-0000-0000-000029070000}"/>
    <cellStyle name="Porcentagem 9 2 2" xfId="1832" xr:uid="{00000000-0005-0000-0000-00002A070000}"/>
    <cellStyle name="Porcentagem 9 3" xfId="1833" xr:uid="{00000000-0005-0000-0000-00002B070000}"/>
    <cellStyle name="Porcentagem 9 4" xfId="1834" xr:uid="{00000000-0005-0000-0000-00002C070000}"/>
    <cellStyle name="Result" xfId="1835" xr:uid="{00000000-0005-0000-0000-00002D070000}"/>
    <cellStyle name="Result2" xfId="1836" xr:uid="{00000000-0005-0000-0000-00002E070000}"/>
    <cellStyle name="Ruim" xfId="269" builtinId="27" customBuiltin="1"/>
    <cellStyle name="Saída" xfId="1837" builtinId="21" customBuiltin="1"/>
    <cellStyle name="Saída 2" xfId="1838" xr:uid="{00000000-0005-0000-0000-000030070000}"/>
    <cellStyle name="Saída 2 2" xfId="1839" xr:uid="{00000000-0005-0000-0000-000031070000}"/>
    <cellStyle name="Saída 2 2 2" xfId="1840" xr:uid="{00000000-0005-0000-0000-000032070000}"/>
    <cellStyle name="Saída 2 2 3" xfId="1841" xr:uid="{00000000-0005-0000-0000-000033070000}"/>
    <cellStyle name="Saída 2 2 4" xfId="1842" xr:uid="{00000000-0005-0000-0000-000034070000}"/>
    <cellStyle name="Saída 2 3" xfId="1843" xr:uid="{00000000-0005-0000-0000-000035070000}"/>
    <cellStyle name="Saída 2 4" xfId="1844" xr:uid="{00000000-0005-0000-0000-000036070000}"/>
    <cellStyle name="Saída 2_CAB-COMP" xfId="1845" xr:uid="{00000000-0005-0000-0000-000037070000}"/>
    <cellStyle name="Saída 3" xfId="1846" xr:uid="{00000000-0005-0000-0000-000038070000}"/>
    <cellStyle name="Saída 3 2" xfId="1847" xr:uid="{00000000-0005-0000-0000-000039070000}"/>
    <cellStyle name="Saída 3 3" xfId="1848" xr:uid="{00000000-0005-0000-0000-00003A070000}"/>
    <cellStyle name="Saída 3 4" xfId="1849" xr:uid="{00000000-0005-0000-0000-00003B070000}"/>
    <cellStyle name="Separador de milhares 10" xfId="1850" xr:uid="{00000000-0005-0000-0000-00003C070000}"/>
    <cellStyle name="Separador de milhares 10 2" xfId="1851" xr:uid="{00000000-0005-0000-0000-00003D070000}"/>
    <cellStyle name="Separador de milhares 10 2 2" xfId="1852" xr:uid="{00000000-0005-0000-0000-00003E070000}"/>
    <cellStyle name="Separador de milhares 10 3" xfId="1853" xr:uid="{00000000-0005-0000-0000-00003F070000}"/>
    <cellStyle name="Separador de milhares 10 4" xfId="1854" xr:uid="{00000000-0005-0000-0000-000040070000}"/>
    <cellStyle name="Separador de milhares 10 4 2" xfId="1855" xr:uid="{00000000-0005-0000-0000-000041070000}"/>
    <cellStyle name="Separador de milhares 10 4 2 2" xfId="1856" xr:uid="{00000000-0005-0000-0000-000042070000}"/>
    <cellStyle name="Separador de milhares 10 4 2 2 2" xfId="1857" xr:uid="{00000000-0005-0000-0000-000043070000}"/>
    <cellStyle name="Separador de milhares 10 4 3" xfId="1858" xr:uid="{00000000-0005-0000-0000-000044070000}"/>
    <cellStyle name="Separador de milhares 11" xfId="1859" xr:uid="{00000000-0005-0000-0000-000045070000}"/>
    <cellStyle name="Separador de milhares 11 2" xfId="1860" xr:uid="{00000000-0005-0000-0000-000046070000}"/>
    <cellStyle name="Separador de milhares 11 3" xfId="1861" xr:uid="{00000000-0005-0000-0000-000047070000}"/>
    <cellStyle name="Separador de milhares 12" xfId="1862" xr:uid="{00000000-0005-0000-0000-000048070000}"/>
    <cellStyle name="Separador de milhares 12 2" xfId="1863" xr:uid="{00000000-0005-0000-0000-000049070000}"/>
    <cellStyle name="Separador de milhares 12 3" xfId="1864" xr:uid="{00000000-0005-0000-0000-00004A070000}"/>
    <cellStyle name="Separador de milhares 12 3 2" xfId="1865" xr:uid="{00000000-0005-0000-0000-00004B070000}"/>
    <cellStyle name="Separador de milhares 12 3 3" xfId="1866" xr:uid="{00000000-0005-0000-0000-00004C070000}"/>
    <cellStyle name="Separador de milhares 13" xfId="1867" xr:uid="{00000000-0005-0000-0000-00004D070000}"/>
    <cellStyle name="Separador de milhares 13 2" xfId="1868" xr:uid="{00000000-0005-0000-0000-00004E070000}"/>
    <cellStyle name="Separador de milhares 13 2 2" xfId="1869" xr:uid="{00000000-0005-0000-0000-00004F070000}"/>
    <cellStyle name="Separador de milhares 13 2 3" xfId="1870" xr:uid="{00000000-0005-0000-0000-000050070000}"/>
    <cellStyle name="Separador de milhares 13 3" xfId="1871" xr:uid="{00000000-0005-0000-0000-000051070000}"/>
    <cellStyle name="Separador de milhares 13 4" xfId="1872" xr:uid="{00000000-0005-0000-0000-000052070000}"/>
    <cellStyle name="Separador de milhares 13 5" xfId="1873" xr:uid="{00000000-0005-0000-0000-000053070000}"/>
    <cellStyle name="Separador de milhares 14" xfId="1874" xr:uid="{00000000-0005-0000-0000-000054070000}"/>
    <cellStyle name="Separador de milhares 14 2" xfId="1875" xr:uid="{00000000-0005-0000-0000-000055070000}"/>
    <cellStyle name="Separador de milhares 14 2 2" xfId="1876" xr:uid="{00000000-0005-0000-0000-000056070000}"/>
    <cellStyle name="Separador de milhares 14 2 2 2" xfId="1877" xr:uid="{00000000-0005-0000-0000-000057070000}"/>
    <cellStyle name="Separador de milhares 14 3" xfId="1878" xr:uid="{00000000-0005-0000-0000-000058070000}"/>
    <cellStyle name="Separador de milhares 14 4" xfId="1879" xr:uid="{00000000-0005-0000-0000-000059070000}"/>
    <cellStyle name="Separador de milhares 14 5" xfId="1880" xr:uid="{00000000-0005-0000-0000-00005A070000}"/>
    <cellStyle name="Separador de milhares 14 6" xfId="1881" xr:uid="{00000000-0005-0000-0000-00005B070000}"/>
    <cellStyle name="Separador de milhares 14 7" xfId="1882" xr:uid="{00000000-0005-0000-0000-00005C070000}"/>
    <cellStyle name="Separador de milhares 14 8" xfId="1883" xr:uid="{00000000-0005-0000-0000-00005D070000}"/>
    <cellStyle name="Separador de milhares 14 9" xfId="1884" xr:uid="{00000000-0005-0000-0000-00005E070000}"/>
    <cellStyle name="Separador de milhares 15" xfId="1885" xr:uid="{00000000-0005-0000-0000-00005F070000}"/>
    <cellStyle name="Separador de milhares 15 2" xfId="1886" xr:uid="{00000000-0005-0000-0000-000060070000}"/>
    <cellStyle name="Separador de milhares 2" xfId="1887" xr:uid="{00000000-0005-0000-0000-000061070000}"/>
    <cellStyle name="Separador de milhares 2 10" xfId="1888" xr:uid="{00000000-0005-0000-0000-000062070000}"/>
    <cellStyle name="Separador de milhares 2 10 2" xfId="1889" xr:uid="{00000000-0005-0000-0000-000063070000}"/>
    <cellStyle name="Separador de milhares 2 10 2 2" xfId="1890" xr:uid="{00000000-0005-0000-0000-000064070000}"/>
    <cellStyle name="Separador de milhares 2 10 3" xfId="1891" xr:uid="{00000000-0005-0000-0000-000065070000}"/>
    <cellStyle name="Separador de milhares 2 11" xfId="1892" xr:uid="{00000000-0005-0000-0000-000066070000}"/>
    <cellStyle name="Separador de milhares 2 11 2" xfId="1893" xr:uid="{00000000-0005-0000-0000-000067070000}"/>
    <cellStyle name="Separador de milhares 2 11 2 2" xfId="1894" xr:uid="{00000000-0005-0000-0000-000068070000}"/>
    <cellStyle name="Separador de milhares 2 11 3" xfId="1895" xr:uid="{00000000-0005-0000-0000-000069070000}"/>
    <cellStyle name="Separador de milhares 2 12" xfId="1896" xr:uid="{00000000-0005-0000-0000-00006A070000}"/>
    <cellStyle name="Separador de milhares 2 12 2" xfId="1897" xr:uid="{00000000-0005-0000-0000-00006B070000}"/>
    <cellStyle name="Separador de milhares 2 12 2 2" xfId="1898" xr:uid="{00000000-0005-0000-0000-00006C070000}"/>
    <cellStyle name="Separador de milhares 2 12 3" xfId="1899" xr:uid="{00000000-0005-0000-0000-00006D070000}"/>
    <cellStyle name="Separador de milhares 2 13" xfId="1900" xr:uid="{00000000-0005-0000-0000-00006E070000}"/>
    <cellStyle name="Separador de milhares 2 13 2" xfId="1901" xr:uid="{00000000-0005-0000-0000-00006F070000}"/>
    <cellStyle name="Separador de milhares 2 13 2 2" xfId="1902" xr:uid="{00000000-0005-0000-0000-000070070000}"/>
    <cellStyle name="Separador de milhares 2 13 3" xfId="1903" xr:uid="{00000000-0005-0000-0000-000071070000}"/>
    <cellStyle name="Separador de milhares 2 14" xfId="1904" xr:uid="{00000000-0005-0000-0000-000072070000}"/>
    <cellStyle name="Separador de milhares 2 14 2" xfId="1905" xr:uid="{00000000-0005-0000-0000-000073070000}"/>
    <cellStyle name="Separador de milhares 2 14 2 2" xfId="1906" xr:uid="{00000000-0005-0000-0000-000074070000}"/>
    <cellStyle name="Separador de milhares 2 14 3" xfId="1907" xr:uid="{00000000-0005-0000-0000-000075070000}"/>
    <cellStyle name="Separador de milhares 2 15" xfId="1908" xr:uid="{00000000-0005-0000-0000-000076070000}"/>
    <cellStyle name="Separador de milhares 2 15 2" xfId="1909" xr:uid="{00000000-0005-0000-0000-000077070000}"/>
    <cellStyle name="Separador de milhares 2 15 2 2" xfId="1910" xr:uid="{00000000-0005-0000-0000-000078070000}"/>
    <cellStyle name="Separador de milhares 2 15 3" xfId="1911" xr:uid="{00000000-0005-0000-0000-000079070000}"/>
    <cellStyle name="Separador de milhares 2 16" xfId="1912" xr:uid="{00000000-0005-0000-0000-00007A070000}"/>
    <cellStyle name="Separador de milhares 2 16 2" xfId="1913" xr:uid="{00000000-0005-0000-0000-00007B070000}"/>
    <cellStyle name="Separador de milhares 2 16 2 2" xfId="1914" xr:uid="{00000000-0005-0000-0000-00007C070000}"/>
    <cellStyle name="Separador de milhares 2 16 3" xfId="1915" xr:uid="{00000000-0005-0000-0000-00007D070000}"/>
    <cellStyle name="Separador de milhares 2 17" xfId="1916" xr:uid="{00000000-0005-0000-0000-00007E070000}"/>
    <cellStyle name="Separador de milhares 2 17 2" xfId="1917" xr:uid="{00000000-0005-0000-0000-00007F070000}"/>
    <cellStyle name="Separador de milhares 2 17 2 2" xfId="1918" xr:uid="{00000000-0005-0000-0000-000080070000}"/>
    <cellStyle name="Separador de milhares 2 17 3" xfId="1919" xr:uid="{00000000-0005-0000-0000-000081070000}"/>
    <cellStyle name="Separador de milhares 2 18" xfId="1920" xr:uid="{00000000-0005-0000-0000-000082070000}"/>
    <cellStyle name="Separador de milhares 2 18 2" xfId="1921" xr:uid="{00000000-0005-0000-0000-000083070000}"/>
    <cellStyle name="Separador de milhares 2 18 2 2" xfId="1922" xr:uid="{00000000-0005-0000-0000-000084070000}"/>
    <cellStyle name="Separador de milhares 2 18 3" xfId="1923" xr:uid="{00000000-0005-0000-0000-000085070000}"/>
    <cellStyle name="Separador de milhares 2 19" xfId="1924" xr:uid="{00000000-0005-0000-0000-000086070000}"/>
    <cellStyle name="Separador de milhares 2 19 2" xfId="1925" xr:uid="{00000000-0005-0000-0000-000087070000}"/>
    <cellStyle name="Separador de milhares 2 19 2 2" xfId="1926" xr:uid="{00000000-0005-0000-0000-000088070000}"/>
    <cellStyle name="Separador de milhares 2 19 3" xfId="1927" xr:uid="{00000000-0005-0000-0000-000089070000}"/>
    <cellStyle name="Separador de milhares 2 2" xfId="1928" xr:uid="{00000000-0005-0000-0000-00008A070000}"/>
    <cellStyle name="Separador de milhares 2 2 10" xfId="1929" xr:uid="{00000000-0005-0000-0000-00008B070000}"/>
    <cellStyle name="Separador de milhares 2 2 10 2" xfId="1930" xr:uid="{00000000-0005-0000-0000-00008C070000}"/>
    <cellStyle name="Separador de milhares 2 2 10 2 2" xfId="1931" xr:uid="{00000000-0005-0000-0000-00008D070000}"/>
    <cellStyle name="Separador de milhares 2 2 10 3" xfId="1932" xr:uid="{00000000-0005-0000-0000-00008E070000}"/>
    <cellStyle name="Separador de milhares 2 2 11" xfId="1933" xr:uid="{00000000-0005-0000-0000-00008F070000}"/>
    <cellStyle name="Separador de milhares 2 2 11 2" xfId="1934" xr:uid="{00000000-0005-0000-0000-000090070000}"/>
    <cellStyle name="Separador de milhares 2 2 11 2 2" xfId="1935" xr:uid="{00000000-0005-0000-0000-000091070000}"/>
    <cellStyle name="Separador de milhares 2 2 11 3" xfId="1936" xr:uid="{00000000-0005-0000-0000-000092070000}"/>
    <cellStyle name="Separador de milhares 2 2 12" xfId="1937" xr:uid="{00000000-0005-0000-0000-000093070000}"/>
    <cellStyle name="Separador de milhares 2 2 13" xfId="1938" xr:uid="{00000000-0005-0000-0000-000094070000}"/>
    <cellStyle name="Separador de milhares 2 2 13 2" xfId="1939" xr:uid="{00000000-0005-0000-0000-000095070000}"/>
    <cellStyle name="Separador de milhares 2 2 14" xfId="1940" xr:uid="{00000000-0005-0000-0000-000096070000}"/>
    <cellStyle name="Separador de milhares 2 2 2" xfId="1941" xr:uid="{00000000-0005-0000-0000-000097070000}"/>
    <cellStyle name="Separador de milhares 2 2 2 2" xfId="1942" xr:uid="{00000000-0005-0000-0000-000098070000}"/>
    <cellStyle name="Separador de milhares 2 2 2 2 2" xfId="1943" xr:uid="{00000000-0005-0000-0000-000099070000}"/>
    <cellStyle name="Separador de milhares 2 2 2 3" xfId="1944" xr:uid="{00000000-0005-0000-0000-00009A070000}"/>
    <cellStyle name="Separador de milhares 2 2 3" xfId="1945" xr:uid="{00000000-0005-0000-0000-00009B070000}"/>
    <cellStyle name="Separador de milhares 2 2 3 2" xfId="1946" xr:uid="{00000000-0005-0000-0000-00009C070000}"/>
    <cellStyle name="Separador de milhares 2 2 3 2 2" xfId="1947" xr:uid="{00000000-0005-0000-0000-00009D070000}"/>
    <cellStyle name="Separador de milhares 2 2 3 3" xfId="1948" xr:uid="{00000000-0005-0000-0000-00009E070000}"/>
    <cellStyle name="Separador de milhares 2 2 4" xfId="1949" xr:uid="{00000000-0005-0000-0000-00009F070000}"/>
    <cellStyle name="Separador de milhares 2 2 4 2" xfId="1950" xr:uid="{00000000-0005-0000-0000-0000A0070000}"/>
    <cellStyle name="Separador de milhares 2 2 4 2 2" xfId="1951" xr:uid="{00000000-0005-0000-0000-0000A1070000}"/>
    <cellStyle name="Separador de milhares 2 2 4 3" xfId="1952" xr:uid="{00000000-0005-0000-0000-0000A2070000}"/>
    <cellStyle name="Separador de milhares 2 2 5" xfId="1953" xr:uid="{00000000-0005-0000-0000-0000A3070000}"/>
    <cellStyle name="Separador de milhares 2 2 5 2" xfId="1954" xr:uid="{00000000-0005-0000-0000-0000A4070000}"/>
    <cellStyle name="Separador de milhares 2 2 5 2 2" xfId="1955" xr:uid="{00000000-0005-0000-0000-0000A5070000}"/>
    <cellStyle name="Separador de milhares 2 2 5 3" xfId="1956" xr:uid="{00000000-0005-0000-0000-0000A6070000}"/>
    <cellStyle name="Separador de milhares 2 2 6" xfId="1957" xr:uid="{00000000-0005-0000-0000-0000A7070000}"/>
    <cellStyle name="Separador de milhares 2 2 6 2" xfId="1958" xr:uid="{00000000-0005-0000-0000-0000A8070000}"/>
    <cellStyle name="Separador de milhares 2 2 6 2 2" xfId="1959" xr:uid="{00000000-0005-0000-0000-0000A9070000}"/>
    <cellStyle name="Separador de milhares 2 2 6 3" xfId="1960" xr:uid="{00000000-0005-0000-0000-0000AA070000}"/>
    <cellStyle name="Separador de milhares 2 2 7" xfId="1961" xr:uid="{00000000-0005-0000-0000-0000AB070000}"/>
    <cellStyle name="Separador de milhares 2 2 7 2" xfId="1962" xr:uid="{00000000-0005-0000-0000-0000AC070000}"/>
    <cellStyle name="Separador de milhares 2 2 7 2 2" xfId="1963" xr:uid="{00000000-0005-0000-0000-0000AD070000}"/>
    <cellStyle name="Separador de milhares 2 2 7 3" xfId="1964" xr:uid="{00000000-0005-0000-0000-0000AE070000}"/>
    <cellStyle name="Separador de milhares 2 2 8" xfId="1965" xr:uid="{00000000-0005-0000-0000-0000AF070000}"/>
    <cellStyle name="Separador de milhares 2 2 8 2" xfId="1966" xr:uid="{00000000-0005-0000-0000-0000B0070000}"/>
    <cellStyle name="Separador de milhares 2 2 8 2 2" xfId="1967" xr:uid="{00000000-0005-0000-0000-0000B1070000}"/>
    <cellStyle name="Separador de milhares 2 2 8 3" xfId="1968" xr:uid="{00000000-0005-0000-0000-0000B2070000}"/>
    <cellStyle name="Separador de milhares 2 2 9" xfId="1969" xr:uid="{00000000-0005-0000-0000-0000B3070000}"/>
    <cellStyle name="Separador de milhares 2 2 9 2" xfId="1970" xr:uid="{00000000-0005-0000-0000-0000B4070000}"/>
    <cellStyle name="Separador de milhares 2 2 9 2 2" xfId="1971" xr:uid="{00000000-0005-0000-0000-0000B5070000}"/>
    <cellStyle name="Separador de milhares 2 2 9 3" xfId="1972" xr:uid="{00000000-0005-0000-0000-0000B6070000}"/>
    <cellStyle name="Separador de milhares 2 20" xfId="1973" xr:uid="{00000000-0005-0000-0000-0000B7070000}"/>
    <cellStyle name="Separador de milhares 2 20 2" xfId="1974" xr:uid="{00000000-0005-0000-0000-0000B8070000}"/>
    <cellStyle name="Separador de milhares 2 20 2 2" xfId="1975" xr:uid="{00000000-0005-0000-0000-0000B9070000}"/>
    <cellStyle name="Separador de milhares 2 20 3" xfId="1976" xr:uid="{00000000-0005-0000-0000-0000BA070000}"/>
    <cellStyle name="Separador de milhares 2 21" xfId="1977" xr:uid="{00000000-0005-0000-0000-0000BB070000}"/>
    <cellStyle name="Separador de milhares 2 21 2" xfId="1978" xr:uid="{00000000-0005-0000-0000-0000BC070000}"/>
    <cellStyle name="Separador de milhares 2 21 2 2" xfId="1979" xr:uid="{00000000-0005-0000-0000-0000BD070000}"/>
    <cellStyle name="Separador de milhares 2 21 3" xfId="1980" xr:uid="{00000000-0005-0000-0000-0000BE070000}"/>
    <cellStyle name="Separador de milhares 2 22" xfId="1981" xr:uid="{00000000-0005-0000-0000-0000BF070000}"/>
    <cellStyle name="Separador de milhares 2 23" xfId="1982" xr:uid="{00000000-0005-0000-0000-0000C0070000}"/>
    <cellStyle name="Separador de milhares 2 23 2" xfId="1983" xr:uid="{00000000-0005-0000-0000-0000C1070000}"/>
    <cellStyle name="Separador de milhares 2 24" xfId="1984" xr:uid="{00000000-0005-0000-0000-0000C2070000}"/>
    <cellStyle name="Separador de milhares 2 25" xfId="1985" xr:uid="{00000000-0005-0000-0000-0000C3070000}"/>
    <cellStyle name="Separador de milhares 2 3" xfId="1986" xr:uid="{00000000-0005-0000-0000-0000C4070000}"/>
    <cellStyle name="Separador de milhares 2 3 10" xfId="1987" xr:uid="{00000000-0005-0000-0000-0000C5070000}"/>
    <cellStyle name="Separador de milhares 2 3 10 2" xfId="1988" xr:uid="{00000000-0005-0000-0000-0000C6070000}"/>
    <cellStyle name="Separador de milhares 2 3 10 2 2" xfId="1989" xr:uid="{00000000-0005-0000-0000-0000C7070000}"/>
    <cellStyle name="Separador de milhares 2 3 10 3" xfId="1990" xr:uid="{00000000-0005-0000-0000-0000C8070000}"/>
    <cellStyle name="Separador de milhares 2 3 11" xfId="1991" xr:uid="{00000000-0005-0000-0000-0000C9070000}"/>
    <cellStyle name="Separador de milhares 2 3 2" xfId="1992" xr:uid="{00000000-0005-0000-0000-0000CA070000}"/>
    <cellStyle name="Separador de milhares 2 3 2 2" xfId="1993" xr:uid="{00000000-0005-0000-0000-0000CB070000}"/>
    <cellStyle name="Separador de milhares 2 3 2 2 2" xfId="1994" xr:uid="{00000000-0005-0000-0000-0000CC070000}"/>
    <cellStyle name="Separador de milhares 2 3 2 3" xfId="1995" xr:uid="{00000000-0005-0000-0000-0000CD070000}"/>
    <cellStyle name="Separador de milhares 2 3 3" xfId="1996" xr:uid="{00000000-0005-0000-0000-0000CE070000}"/>
    <cellStyle name="Separador de milhares 2 3 3 2" xfId="1997" xr:uid="{00000000-0005-0000-0000-0000CF070000}"/>
    <cellStyle name="Separador de milhares 2 3 3 2 2" xfId="1998" xr:uid="{00000000-0005-0000-0000-0000D0070000}"/>
    <cellStyle name="Separador de milhares 2 3 3 3" xfId="1999" xr:uid="{00000000-0005-0000-0000-0000D1070000}"/>
    <cellStyle name="Separador de milhares 2 3 4" xfId="2000" xr:uid="{00000000-0005-0000-0000-0000D2070000}"/>
    <cellStyle name="Separador de milhares 2 3 4 2" xfId="2001" xr:uid="{00000000-0005-0000-0000-0000D3070000}"/>
    <cellStyle name="Separador de milhares 2 3 4 2 2" xfId="2002" xr:uid="{00000000-0005-0000-0000-0000D4070000}"/>
    <cellStyle name="Separador de milhares 2 3 4 3" xfId="2003" xr:uid="{00000000-0005-0000-0000-0000D5070000}"/>
    <cellStyle name="Separador de milhares 2 3 5" xfId="2004" xr:uid="{00000000-0005-0000-0000-0000D6070000}"/>
    <cellStyle name="Separador de milhares 2 3 5 2" xfId="2005" xr:uid="{00000000-0005-0000-0000-0000D7070000}"/>
    <cellStyle name="Separador de milhares 2 3 5 2 2" xfId="2006" xr:uid="{00000000-0005-0000-0000-0000D8070000}"/>
    <cellStyle name="Separador de milhares 2 3 5 3" xfId="2007" xr:uid="{00000000-0005-0000-0000-0000D9070000}"/>
    <cellStyle name="Separador de milhares 2 3 6" xfId="2008" xr:uid="{00000000-0005-0000-0000-0000DA070000}"/>
    <cellStyle name="Separador de milhares 2 3 6 2" xfId="2009" xr:uid="{00000000-0005-0000-0000-0000DB070000}"/>
    <cellStyle name="Separador de milhares 2 3 6 2 2" xfId="2010" xr:uid="{00000000-0005-0000-0000-0000DC070000}"/>
    <cellStyle name="Separador de milhares 2 3 6 3" xfId="2011" xr:uid="{00000000-0005-0000-0000-0000DD070000}"/>
    <cellStyle name="Separador de milhares 2 3 7" xfId="2012" xr:uid="{00000000-0005-0000-0000-0000DE070000}"/>
    <cellStyle name="Separador de milhares 2 3 7 2" xfId="2013" xr:uid="{00000000-0005-0000-0000-0000DF070000}"/>
    <cellStyle name="Separador de milhares 2 3 7 2 2" xfId="2014" xr:uid="{00000000-0005-0000-0000-0000E0070000}"/>
    <cellStyle name="Separador de milhares 2 3 7 3" xfId="2015" xr:uid="{00000000-0005-0000-0000-0000E1070000}"/>
    <cellStyle name="Separador de milhares 2 3 8" xfId="2016" xr:uid="{00000000-0005-0000-0000-0000E2070000}"/>
    <cellStyle name="Separador de milhares 2 3 8 2" xfId="2017" xr:uid="{00000000-0005-0000-0000-0000E3070000}"/>
    <cellStyle name="Separador de milhares 2 3 8 2 2" xfId="2018" xr:uid="{00000000-0005-0000-0000-0000E4070000}"/>
    <cellStyle name="Separador de milhares 2 3 8 3" xfId="2019" xr:uid="{00000000-0005-0000-0000-0000E5070000}"/>
    <cellStyle name="Separador de milhares 2 3 9" xfId="2020" xr:uid="{00000000-0005-0000-0000-0000E6070000}"/>
    <cellStyle name="Separador de milhares 2 3 9 2" xfId="2021" xr:uid="{00000000-0005-0000-0000-0000E7070000}"/>
    <cellStyle name="Separador de milhares 2 3 9 2 2" xfId="2022" xr:uid="{00000000-0005-0000-0000-0000E8070000}"/>
    <cellStyle name="Separador de milhares 2 3 9 3" xfId="2023" xr:uid="{00000000-0005-0000-0000-0000E9070000}"/>
    <cellStyle name="Separador de milhares 2 4" xfId="2024" xr:uid="{00000000-0005-0000-0000-0000EA070000}"/>
    <cellStyle name="Separador de milhares 2 4 2" xfId="2025" xr:uid="{00000000-0005-0000-0000-0000EB070000}"/>
    <cellStyle name="Separador de milhares 2 4 2 2" xfId="2026" xr:uid="{00000000-0005-0000-0000-0000EC070000}"/>
    <cellStyle name="Separador de milhares 2 4 3" xfId="2027" xr:uid="{00000000-0005-0000-0000-0000ED070000}"/>
    <cellStyle name="Separador de milhares 2 5" xfId="2028" xr:uid="{00000000-0005-0000-0000-0000EE070000}"/>
    <cellStyle name="Separador de milhares 2 5 2" xfId="2029" xr:uid="{00000000-0005-0000-0000-0000EF070000}"/>
    <cellStyle name="Separador de milhares 2 5 2 2" xfId="2030" xr:uid="{00000000-0005-0000-0000-0000F0070000}"/>
    <cellStyle name="Separador de milhares 2 5 3" xfId="2031" xr:uid="{00000000-0005-0000-0000-0000F1070000}"/>
    <cellStyle name="Separador de milhares 2 6" xfId="2032" xr:uid="{00000000-0005-0000-0000-0000F2070000}"/>
    <cellStyle name="Separador de milhares 2 6 2" xfId="2033" xr:uid="{00000000-0005-0000-0000-0000F3070000}"/>
    <cellStyle name="Separador de milhares 2 6 2 2" xfId="2034" xr:uid="{00000000-0005-0000-0000-0000F4070000}"/>
    <cellStyle name="Separador de milhares 2 6 3" xfId="2035" xr:uid="{00000000-0005-0000-0000-0000F5070000}"/>
    <cellStyle name="Separador de milhares 2 7" xfId="2036" xr:uid="{00000000-0005-0000-0000-0000F6070000}"/>
    <cellStyle name="Separador de milhares 2 7 2" xfId="2037" xr:uid="{00000000-0005-0000-0000-0000F7070000}"/>
    <cellStyle name="Separador de milhares 2 7 2 2" xfId="2038" xr:uid="{00000000-0005-0000-0000-0000F8070000}"/>
    <cellStyle name="Separador de milhares 2 7 3" xfId="2039" xr:uid="{00000000-0005-0000-0000-0000F9070000}"/>
    <cellStyle name="Separador de milhares 2 8" xfId="2040" xr:uid="{00000000-0005-0000-0000-0000FA070000}"/>
    <cellStyle name="Separador de milhares 2 8 2" xfId="2041" xr:uid="{00000000-0005-0000-0000-0000FB070000}"/>
    <cellStyle name="Separador de milhares 2 8 2 2" xfId="2042" xr:uid="{00000000-0005-0000-0000-0000FC070000}"/>
    <cellStyle name="Separador de milhares 2 8 3" xfId="2043" xr:uid="{00000000-0005-0000-0000-0000FD070000}"/>
    <cellStyle name="Separador de milhares 2 9" xfId="2044" xr:uid="{00000000-0005-0000-0000-0000FE070000}"/>
    <cellStyle name="Separador de milhares 2 9 2" xfId="2045" xr:uid="{00000000-0005-0000-0000-0000FF070000}"/>
    <cellStyle name="Separador de milhares 2 9 2 2" xfId="2046" xr:uid="{00000000-0005-0000-0000-000000080000}"/>
    <cellStyle name="Separador de milhares 2 9 3" xfId="2047" xr:uid="{00000000-0005-0000-0000-000001080000}"/>
    <cellStyle name="Separador de milhares 3" xfId="2048" xr:uid="{00000000-0005-0000-0000-000002080000}"/>
    <cellStyle name="Separador de milhares 3 10" xfId="2049" xr:uid="{00000000-0005-0000-0000-000003080000}"/>
    <cellStyle name="Separador de milhares 3 10 2" xfId="2050" xr:uid="{00000000-0005-0000-0000-000004080000}"/>
    <cellStyle name="Separador de milhares 3 11" xfId="2051" xr:uid="{00000000-0005-0000-0000-000005080000}"/>
    <cellStyle name="Separador de milhares 3 12" xfId="2052" xr:uid="{00000000-0005-0000-0000-000006080000}"/>
    <cellStyle name="Separador de milhares 3 12 2" xfId="2053" xr:uid="{00000000-0005-0000-0000-000007080000}"/>
    <cellStyle name="Separador de milhares 3 12 2 2" xfId="2054" xr:uid="{00000000-0005-0000-0000-000008080000}"/>
    <cellStyle name="Separador de milhares 3 12 3" xfId="2055" xr:uid="{00000000-0005-0000-0000-000009080000}"/>
    <cellStyle name="Separador de milhares 3 13" xfId="2056" xr:uid="{00000000-0005-0000-0000-00000A080000}"/>
    <cellStyle name="Separador de milhares 3 2" xfId="2057" xr:uid="{00000000-0005-0000-0000-00000B080000}"/>
    <cellStyle name="Separador de milhares 3 2 2" xfId="2058" xr:uid="{00000000-0005-0000-0000-00000C080000}"/>
    <cellStyle name="Separador de milhares 3 3" xfId="2059" xr:uid="{00000000-0005-0000-0000-00000D080000}"/>
    <cellStyle name="Separador de milhares 3 3 2" xfId="2060" xr:uid="{00000000-0005-0000-0000-00000E080000}"/>
    <cellStyle name="Separador de milhares 3 4" xfId="2061" xr:uid="{00000000-0005-0000-0000-00000F080000}"/>
    <cellStyle name="Separador de milhares 3 4 2" xfId="2062" xr:uid="{00000000-0005-0000-0000-000010080000}"/>
    <cellStyle name="Separador de milhares 3 5" xfId="2063" xr:uid="{00000000-0005-0000-0000-000011080000}"/>
    <cellStyle name="Separador de milhares 3 5 2" xfId="2064" xr:uid="{00000000-0005-0000-0000-000012080000}"/>
    <cellStyle name="Separador de milhares 3 6" xfId="2065" xr:uid="{00000000-0005-0000-0000-000013080000}"/>
    <cellStyle name="Separador de milhares 3 6 2" xfId="2066" xr:uid="{00000000-0005-0000-0000-000014080000}"/>
    <cellStyle name="Separador de milhares 3 7" xfId="2067" xr:uid="{00000000-0005-0000-0000-000015080000}"/>
    <cellStyle name="Separador de milhares 3 7 2" xfId="2068" xr:uid="{00000000-0005-0000-0000-000016080000}"/>
    <cellStyle name="Separador de milhares 3 8" xfId="2069" xr:uid="{00000000-0005-0000-0000-000017080000}"/>
    <cellStyle name="Separador de milhares 3 8 2" xfId="2070" xr:uid="{00000000-0005-0000-0000-000018080000}"/>
    <cellStyle name="Separador de milhares 3 9" xfId="2071" xr:uid="{00000000-0005-0000-0000-000019080000}"/>
    <cellStyle name="Separador de milhares 3 9 2" xfId="2072" xr:uid="{00000000-0005-0000-0000-00001A080000}"/>
    <cellStyle name="Separador de milhares 4" xfId="2073" xr:uid="{00000000-0005-0000-0000-00001B080000}"/>
    <cellStyle name="Separador de milhares 4 2" xfId="2074" xr:uid="{00000000-0005-0000-0000-00001C080000}"/>
    <cellStyle name="Separador de milhares 4 2 2" xfId="2075" xr:uid="{00000000-0005-0000-0000-00001D080000}"/>
    <cellStyle name="Separador de milhares 4 3" xfId="2076" xr:uid="{00000000-0005-0000-0000-00001E080000}"/>
    <cellStyle name="Separador de milhares 5" xfId="2077" xr:uid="{00000000-0005-0000-0000-00001F080000}"/>
    <cellStyle name="Separador de milhares 5 2" xfId="2078" xr:uid="{00000000-0005-0000-0000-000020080000}"/>
    <cellStyle name="Separador de milhares 5 2 2" xfId="2079" xr:uid="{00000000-0005-0000-0000-000021080000}"/>
    <cellStyle name="Separador de milhares 5 2 2 2" xfId="2080" xr:uid="{00000000-0005-0000-0000-000022080000}"/>
    <cellStyle name="Separador de milhares 5 2 3" xfId="2081" xr:uid="{00000000-0005-0000-0000-000023080000}"/>
    <cellStyle name="Separador de milhares 5 3" xfId="2082" xr:uid="{00000000-0005-0000-0000-000024080000}"/>
    <cellStyle name="Separador de milhares 5 3 2" xfId="2083" xr:uid="{00000000-0005-0000-0000-000025080000}"/>
    <cellStyle name="Separador de milhares 5 4" xfId="2084" xr:uid="{00000000-0005-0000-0000-000026080000}"/>
    <cellStyle name="Separador de milhares 5 4 2" xfId="2085" xr:uid="{00000000-0005-0000-0000-000027080000}"/>
    <cellStyle name="Separador de milhares 5 5" xfId="2086" xr:uid="{00000000-0005-0000-0000-000028080000}"/>
    <cellStyle name="Separador de milhares 5 6" xfId="2087" xr:uid="{00000000-0005-0000-0000-000029080000}"/>
    <cellStyle name="Separador de milhares 6" xfId="2088" xr:uid="{00000000-0005-0000-0000-00002A080000}"/>
    <cellStyle name="Separador de milhares 6 2" xfId="2089" xr:uid="{00000000-0005-0000-0000-00002B080000}"/>
    <cellStyle name="Separador de milhares 6 2 2" xfId="2090" xr:uid="{00000000-0005-0000-0000-00002C080000}"/>
    <cellStyle name="Separador de milhares 6 3" xfId="2091" xr:uid="{00000000-0005-0000-0000-00002D080000}"/>
    <cellStyle name="Separador de milhares 6 3 2" xfId="2092" xr:uid="{00000000-0005-0000-0000-00002E080000}"/>
    <cellStyle name="Separador de milhares 6 3 2 2" xfId="2093" xr:uid="{00000000-0005-0000-0000-00002F080000}"/>
    <cellStyle name="Separador de milhares 6 3 2 2 2" xfId="2094" xr:uid="{00000000-0005-0000-0000-000030080000}"/>
    <cellStyle name="Separador de milhares 6 3 3" xfId="2095" xr:uid="{00000000-0005-0000-0000-000031080000}"/>
    <cellStyle name="Separador de milhares 7" xfId="2096" xr:uid="{00000000-0005-0000-0000-000032080000}"/>
    <cellStyle name="Separador de milhares 7 2" xfId="2097" xr:uid="{00000000-0005-0000-0000-000033080000}"/>
    <cellStyle name="Separador de milhares 7 2 2" xfId="2098" xr:uid="{00000000-0005-0000-0000-000034080000}"/>
    <cellStyle name="Separador de milhares 7 3" xfId="2099" xr:uid="{00000000-0005-0000-0000-000035080000}"/>
    <cellStyle name="Separador de milhares 7 3 2" xfId="2100" xr:uid="{00000000-0005-0000-0000-000036080000}"/>
    <cellStyle name="Separador de milhares 7 4" xfId="2101" xr:uid="{00000000-0005-0000-0000-000037080000}"/>
    <cellStyle name="Separador de milhares 7 4 2" xfId="2102" xr:uid="{00000000-0005-0000-0000-000038080000}"/>
    <cellStyle name="Separador de milhares 7 4 2 2" xfId="2103" xr:uid="{00000000-0005-0000-0000-000039080000}"/>
    <cellStyle name="Separador de milhares 7 4 2 2 2" xfId="2104" xr:uid="{00000000-0005-0000-0000-00003A080000}"/>
    <cellStyle name="Separador de milhares 7 4 3" xfId="2105" xr:uid="{00000000-0005-0000-0000-00003B080000}"/>
    <cellStyle name="Separador de milhares 7 4 4" xfId="2106" xr:uid="{00000000-0005-0000-0000-00003C080000}"/>
    <cellStyle name="Separador de milhares 7 4 5" xfId="2107" xr:uid="{00000000-0005-0000-0000-00003D080000}"/>
    <cellStyle name="Separador de milhares 7 4 6" xfId="2108" xr:uid="{00000000-0005-0000-0000-00003E080000}"/>
    <cellStyle name="Separador de milhares 7 4 7" xfId="2109" xr:uid="{00000000-0005-0000-0000-00003F080000}"/>
    <cellStyle name="Separador de milhares 7 4 8" xfId="2110" xr:uid="{00000000-0005-0000-0000-000040080000}"/>
    <cellStyle name="Separador de milhares 7 5" xfId="2111" xr:uid="{00000000-0005-0000-0000-000041080000}"/>
    <cellStyle name="Separador de milhares 8" xfId="2112" xr:uid="{00000000-0005-0000-0000-000042080000}"/>
    <cellStyle name="Separador de milhares 8 2" xfId="2113" xr:uid="{00000000-0005-0000-0000-000043080000}"/>
    <cellStyle name="Separador de milhares 8 2 2" xfId="2114" xr:uid="{00000000-0005-0000-0000-000044080000}"/>
    <cellStyle name="Separador de milhares 8 2 2 2" xfId="2115" xr:uid="{00000000-0005-0000-0000-000045080000}"/>
    <cellStyle name="Separador de milhares 8 2 2 3" xfId="2116" xr:uid="{00000000-0005-0000-0000-000046080000}"/>
    <cellStyle name="Separador de milhares 8 2 3" xfId="2117" xr:uid="{00000000-0005-0000-0000-000047080000}"/>
    <cellStyle name="Separador de milhares 8 3" xfId="2118" xr:uid="{00000000-0005-0000-0000-000048080000}"/>
    <cellStyle name="Separador de milhares 8 3 2" xfId="2119" xr:uid="{00000000-0005-0000-0000-000049080000}"/>
    <cellStyle name="Separador de milhares 8 3 3" xfId="2120" xr:uid="{00000000-0005-0000-0000-00004A080000}"/>
    <cellStyle name="Separador de milhares 8 4" xfId="2121" xr:uid="{00000000-0005-0000-0000-00004B080000}"/>
    <cellStyle name="Separador de milhares 8 4 2" xfId="2122" xr:uid="{00000000-0005-0000-0000-00004C080000}"/>
    <cellStyle name="Separador de milhares 8 4 3" xfId="2123" xr:uid="{00000000-0005-0000-0000-00004D080000}"/>
    <cellStyle name="Separador de milhares 8 5" xfId="2124" xr:uid="{00000000-0005-0000-0000-00004E080000}"/>
    <cellStyle name="Separador de milhares 8 6" xfId="2125" xr:uid="{00000000-0005-0000-0000-00004F080000}"/>
    <cellStyle name="Separador de milhares 9" xfId="2126" xr:uid="{00000000-0005-0000-0000-000050080000}"/>
    <cellStyle name="Separador de milhares 9 2" xfId="2127" xr:uid="{00000000-0005-0000-0000-000051080000}"/>
    <cellStyle name="Separador de milhares 9 2 2" xfId="2128" xr:uid="{00000000-0005-0000-0000-000052080000}"/>
    <cellStyle name="Separador de milhares 9 3" xfId="2129" xr:uid="{00000000-0005-0000-0000-000053080000}"/>
    <cellStyle name="TableStyleLight1" xfId="2130" xr:uid="{00000000-0005-0000-0000-000054080000}"/>
    <cellStyle name="Texto de Aviso" xfId="2131" builtinId="11" customBuiltin="1"/>
    <cellStyle name="Texto de Aviso 2" xfId="2132" xr:uid="{00000000-0005-0000-0000-000056080000}"/>
    <cellStyle name="Texto de Aviso 2 2" xfId="2133" xr:uid="{00000000-0005-0000-0000-000057080000}"/>
    <cellStyle name="Texto de Aviso 2 3" xfId="2134" xr:uid="{00000000-0005-0000-0000-000058080000}"/>
    <cellStyle name="Texto de Aviso 2 4" xfId="2135" xr:uid="{00000000-0005-0000-0000-000059080000}"/>
    <cellStyle name="Texto de Aviso 2_CAB-COMP" xfId="2136" xr:uid="{00000000-0005-0000-0000-00005A080000}"/>
    <cellStyle name="Texto de Aviso 3" xfId="2137" xr:uid="{00000000-0005-0000-0000-00005B080000}"/>
    <cellStyle name="Texto Explicativo" xfId="2138" builtinId="53" customBuiltin="1"/>
    <cellStyle name="Texto Explicativo 2" xfId="2139" xr:uid="{00000000-0005-0000-0000-00005D080000}"/>
    <cellStyle name="Texto Explicativo 2 2" xfId="2140" xr:uid="{00000000-0005-0000-0000-00005E080000}"/>
    <cellStyle name="Texto Explicativo 2 3" xfId="2141" xr:uid="{00000000-0005-0000-0000-00005F080000}"/>
    <cellStyle name="Texto Explicativo 2 4" xfId="2142" xr:uid="{00000000-0005-0000-0000-000060080000}"/>
    <cellStyle name="Texto Explicativo 2_CAB-COMP" xfId="2143" xr:uid="{00000000-0005-0000-0000-000061080000}"/>
    <cellStyle name="Texto Explicativo 3" xfId="2144" xr:uid="{00000000-0005-0000-0000-000062080000}"/>
    <cellStyle name="Título" xfId="2145" builtinId="15" customBuiltin="1"/>
    <cellStyle name="Título 1" xfId="2146" builtinId="16" customBuiltin="1"/>
    <cellStyle name="Título 1 1" xfId="2147" xr:uid="{00000000-0005-0000-0000-000065080000}"/>
    <cellStyle name="Título 1 1 1" xfId="2148" xr:uid="{00000000-0005-0000-0000-000066080000}"/>
    <cellStyle name="Título 1 1 10" xfId="2149" xr:uid="{00000000-0005-0000-0000-000067080000}"/>
    <cellStyle name="Título 1 1 11" xfId="2150" xr:uid="{00000000-0005-0000-0000-000068080000}"/>
    <cellStyle name="Título 1 1 12" xfId="2151" xr:uid="{00000000-0005-0000-0000-000069080000}"/>
    <cellStyle name="Título 1 1 13" xfId="2152" xr:uid="{00000000-0005-0000-0000-00006A080000}"/>
    <cellStyle name="Título 1 1 14" xfId="2153" xr:uid="{00000000-0005-0000-0000-00006B080000}"/>
    <cellStyle name="Título 1 1 15" xfId="2154" xr:uid="{00000000-0005-0000-0000-00006C080000}"/>
    <cellStyle name="Título 1 1 2" xfId="2155" xr:uid="{00000000-0005-0000-0000-00006D080000}"/>
    <cellStyle name="Título 1 1 3" xfId="2156" xr:uid="{00000000-0005-0000-0000-00006E080000}"/>
    <cellStyle name="Título 1 1 4" xfId="2157" xr:uid="{00000000-0005-0000-0000-00006F080000}"/>
    <cellStyle name="Título 1 1 5" xfId="2158" xr:uid="{00000000-0005-0000-0000-000070080000}"/>
    <cellStyle name="Título 1 1 6" xfId="2159" xr:uid="{00000000-0005-0000-0000-000071080000}"/>
    <cellStyle name="Título 1 1 7" xfId="2160" xr:uid="{00000000-0005-0000-0000-000072080000}"/>
    <cellStyle name="Título 1 1 8" xfId="2161" xr:uid="{00000000-0005-0000-0000-000073080000}"/>
    <cellStyle name="Título 1 1 9" xfId="2162" xr:uid="{00000000-0005-0000-0000-000074080000}"/>
    <cellStyle name="Título 1 2" xfId="2163" xr:uid="{00000000-0005-0000-0000-000075080000}"/>
    <cellStyle name="Título 2" xfId="2164" builtinId="17" customBuiltin="1"/>
    <cellStyle name="Título 2 2" xfId="2165" xr:uid="{00000000-0005-0000-0000-000077080000}"/>
    <cellStyle name="Título 3" xfId="2166" builtinId="18" customBuiltin="1"/>
    <cellStyle name="Título 3 2" xfId="2167" xr:uid="{00000000-0005-0000-0000-000079080000}"/>
    <cellStyle name="Título 4" xfId="2168" builtinId="19" customBuiltin="1"/>
    <cellStyle name="Título 4 2" xfId="2169" xr:uid="{00000000-0005-0000-0000-00007B080000}"/>
    <cellStyle name="Título 5" xfId="2170" xr:uid="{00000000-0005-0000-0000-00007C080000}"/>
    <cellStyle name="Título 5 2" xfId="2171" xr:uid="{00000000-0005-0000-0000-00007D080000}"/>
    <cellStyle name="Título 5 3" xfId="2172" xr:uid="{00000000-0005-0000-0000-00007E080000}"/>
    <cellStyle name="Título 5 4" xfId="2173" xr:uid="{00000000-0005-0000-0000-00007F080000}"/>
    <cellStyle name="Título 5_CAB-COMP" xfId="2174" xr:uid="{00000000-0005-0000-0000-000080080000}"/>
    <cellStyle name="Título 6" xfId="2175" xr:uid="{00000000-0005-0000-0000-000081080000}"/>
    <cellStyle name="Total" xfId="2176" builtinId="25" customBuiltin="1"/>
    <cellStyle name="Total 2" xfId="2177" xr:uid="{00000000-0005-0000-0000-000083080000}"/>
    <cellStyle name="Total 2 2" xfId="2178" xr:uid="{00000000-0005-0000-0000-000084080000}"/>
    <cellStyle name="Total 2 2 2" xfId="2179" xr:uid="{00000000-0005-0000-0000-000085080000}"/>
    <cellStyle name="Total 2 2 3" xfId="2180" xr:uid="{00000000-0005-0000-0000-000086080000}"/>
    <cellStyle name="Total 2 2 4" xfId="2181" xr:uid="{00000000-0005-0000-0000-000087080000}"/>
    <cellStyle name="Total 2 3" xfId="2182" xr:uid="{00000000-0005-0000-0000-000088080000}"/>
    <cellStyle name="Total 2 4" xfId="2183" xr:uid="{00000000-0005-0000-0000-000089080000}"/>
    <cellStyle name="Total 2_CAB-COMP" xfId="2184" xr:uid="{00000000-0005-0000-0000-00008A080000}"/>
    <cellStyle name="Total 3" xfId="2185" xr:uid="{00000000-0005-0000-0000-00008B080000}"/>
    <cellStyle name="Total 3 2" xfId="2186" xr:uid="{00000000-0005-0000-0000-00008C080000}"/>
    <cellStyle name="Total 3 3" xfId="2187" xr:uid="{00000000-0005-0000-0000-00008D080000}"/>
    <cellStyle name="Total 3 4" xfId="2188" xr:uid="{00000000-0005-0000-0000-00008E080000}"/>
    <cellStyle name="Verificar Célula" xfId="2189" xr:uid="{00000000-0005-0000-0000-00008F080000}"/>
    <cellStyle name="Vírgula" xfId="2190" builtinId="3"/>
    <cellStyle name="Vírgula 2" xfId="2191" xr:uid="{00000000-0005-0000-0000-000091080000}"/>
    <cellStyle name="Vírgula 2 2" xfId="2192" xr:uid="{00000000-0005-0000-0000-000092080000}"/>
    <cellStyle name="Vírgula 2 2 2" xfId="2193" xr:uid="{00000000-0005-0000-0000-000093080000}"/>
    <cellStyle name="Vírgula 2 3" xfId="2194" xr:uid="{00000000-0005-0000-0000-000094080000}"/>
    <cellStyle name="Vírgula 2 3 2" xfId="2195" xr:uid="{00000000-0005-0000-0000-000095080000}"/>
    <cellStyle name="Vírgula 2 4" xfId="2196" xr:uid="{00000000-0005-0000-0000-000096080000}"/>
    <cellStyle name="Vírgula 2 4 2" xfId="2197" xr:uid="{00000000-0005-0000-0000-000097080000}"/>
    <cellStyle name="Vírgula 2 4 2 2" xfId="2198" xr:uid="{00000000-0005-0000-0000-000098080000}"/>
    <cellStyle name="Vírgula 2 4 2 2 2" xfId="2199" xr:uid="{00000000-0005-0000-0000-000099080000}"/>
    <cellStyle name="Vírgula 2 4 3" xfId="2200" xr:uid="{00000000-0005-0000-0000-00009A080000}"/>
    <cellStyle name="Vírgula 3" xfId="2201" xr:uid="{00000000-0005-0000-0000-00009B080000}"/>
    <cellStyle name="Vírgula 3 2" xfId="2202" xr:uid="{00000000-0005-0000-0000-00009C080000}"/>
    <cellStyle name="Vírgula 3 2 2" xfId="2203" xr:uid="{00000000-0005-0000-0000-00009D080000}"/>
    <cellStyle name="Vírgula 3 2 3" xfId="2204" xr:uid="{00000000-0005-0000-0000-00009E080000}"/>
    <cellStyle name="Vírgula 3 3" xfId="2205" xr:uid="{00000000-0005-0000-0000-00009F080000}"/>
    <cellStyle name="Vírgula 3 3 2" xfId="2206" xr:uid="{00000000-0005-0000-0000-0000A0080000}"/>
    <cellStyle name="Vírgula 3 4" xfId="2207" xr:uid="{00000000-0005-0000-0000-0000A1080000}"/>
    <cellStyle name="Vírgula 3 5" xfId="2208" xr:uid="{00000000-0005-0000-0000-0000A2080000}"/>
    <cellStyle name="Vírgula 4" xfId="2209" xr:uid="{00000000-0005-0000-0000-0000A3080000}"/>
    <cellStyle name="Vírgula 5" xfId="2210" xr:uid="{00000000-0005-0000-0000-0000A4080000}"/>
    <cellStyle name="Vírgula 5 2" xfId="2211" xr:uid="{00000000-0005-0000-0000-0000A5080000}"/>
    <cellStyle name="Vírgula 5 2 2" xfId="2212" xr:uid="{00000000-0005-0000-0000-0000A6080000}"/>
    <cellStyle name="Vírgula 5 3" xfId="2213" xr:uid="{00000000-0005-0000-0000-0000A7080000}"/>
    <cellStyle name="Vírgula 5 4" xfId="2214" xr:uid="{00000000-0005-0000-0000-0000A8080000}"/>
    <cellStyle name="Vírgula 6" xfId="2215" xr:uid="{00000000-0005-0000-0000-0000A9080000}"/>
    <cellStyle name="Vírgula 6 2" xfId="2216" xr:uid="{00000000-0005-0000-0000-0000AA080000}"/>
    <cellStyle name="Vírgula 6 3" xfId="2217" xr:uid="{00000000-0005-0000-0000-0000AB080000}"/>
    <cellStyle name="Vírgula 6 3 2" xfId="2218" xr:uid="{00000000-0005-0000-0000-0000AC080000}"/>
    <cellStyle name="Vírgula 6 4" xfId="2219" xr:uid="{00000000-0005-0000-0000-0000AD080000}"/>
    <cellStyle name="Vírgula 6 5" xfId="2220" xr:uid="{00000000-0005-0000-0000-0000AE080000}"/>
    <cellStyle name="Vírgula 7" xfId="2221" xr:uid="{00000000-0005-0000-0000-0000AF080000}"/>
    <cellStyle name="Vírgula 7 2" xfId="2222" xr:uid="{00000000-0005-0000-0000-0000B0080000}"/>
    <cellStyle name="Vírgula 7 3" xfId="2223" xr:uid="{00000000-0005-0000-0000-0000B1080000}"/>
    <cellStyle name="Warning Text" xfId="2224" xr:uid="{00000000-0005-0000-0000-0000B2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76201</xdr:colOff>
      <xdr:row>0</xdr:row>
      <xdr:rowOff>28576</xdr:rowOff>
    </xdr:from>
    <xdr:to>
      <xdr:col>2</xdr:col>
      <xdr:colOff>408110</xdr:colOff>
      <xdr:row>3</xdr:row>
      <xdr:rowOff>153911</xdr:rowOff>
    </xdr:to>
    <xdr:pic>
      <xdr:nvPicPr>
        <xdr:cNvPr id="1034" name="Imagem 1">
          <a:extLst>
            <a:ext uri="{FF2B5EF4-FFF2-40B4-BE49-F238E27FC236}">
              <a16:creationId xmlns:a16="http://schemas.microsoft.com/office/drawing/2014/main" id="{00000000-0008-0000-0000-00000A040000}"/>
            </a:ext>
          </a:extLst>
        </xdr:cNvPr>
        <xdr:cNvPicPr>
          <a:picLocks noChangeAspect="1"/>
        </xdr:cNvPicPr>
      </xdr:nvPicPr>
      <xdr:blipFill>
        <a:blip xmlns:r="http://schemas.openxmlformats.org/officeDocument/2006/relationships" r:embed="rId1" cstate="print"/>
        <a:srcRect/>
        <a:stretch>
          <a:fillRect/>
        </a:stretch>
      </xdr:blipFill>
      <xdr:spPr bwMode="auto">
        <a:xfrm>
          <a:off x="552451" y="28576"/>
          <a:ext cx="990599" cy="696835"/>
        </a:xfrm>
        <a:prstGeom prst="rect">
          <a:avLst/>
        </a:prstGeom>
        <a:noFill/>
        <a:ln w="9525">
          <a:noFill/>
          <a:miter lim="800000"/>
          <a:headEnd/>
          <a:tailEnd/>
        </a:ln>
      </xdr:spPr>
    </xdr:pic>
    <xdr:clientData/>
  </xdr:twoCellAnchor>
  <xdr:twoCellAnchor editAs="oneCell">
    <xdr:from>
      <xdr:col>5</xdr:col>
      <xdr:colOff>542927</xdr:colOff>
      <xdr:row>0</xdr:row>
      <xdr:rowOff>66675</xdr:rowOff>
    </xdr:from>
    <xdr:to>
      <xdr:col>7</xdr:col>
      <xdr:colOff>646234</xdr:colOff>
      <xdr:row>3</xdr:row>
      <xdr:rowOff>152400</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81927" y="66675"/>
          <a:ext cx="1523998" cy="657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0</xdr:row>
      <xdr:rowOff>28575</xdr:rowOff>
    </xdr:from>
    <xdr:to>
      <xdr:col>1</xdr:col>
      <xdr:colOff>952500</xdr:colOff>
      <xdr:row>4</xdr:row>
      <xdr:rowOff>0</xdr:rowOff>
    </xdr:to>
    <xdr:pic>
      <xdr:nvPicPr>
        <xdr:cNvPr id="2" name="Imagem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47625" y="28575"/>
          <a:ext cx="1381125" cy="733425"/>
        </a:xfrm>
        <a:prstGeom prst="rect">
          <a:avLst/>
        </a:prstGeom>
        <a:noFill/>
        <a:ln w="9525">
          <a:noFill/>
          <a:miter lim="800000"/>
          <a:headEnd/>
          <a:tailEnd/>
        </a:ln>
      </xdr:spPr>
    </xdr:pic>
    <xdr:clientData/>
  </xdr:twoCellAnchor>
  <xdr:twoCellAnchor editAs="oneCell">
    <xdr:from>
      <xdr:col>6</xdr:col>
      <xdr:colOff>523875</xdr:colOff>
      <xdr:row>0</xdr:row>
      <xdr:rowOff>19050</xdr:rowOff>
    </xdr:from>
    <xdr:to>
      <xdr:col>7</xdr:col>
      <xdr:colOff>1219198</xdr:colOff>
      <xdr:row>3</xdr:row>
      <xdr:rowOff>177716</xdr:rowOff>
    </xdr:to>
    <xdr:pic>
      <xdr:nvPicPr>
        <xdr:cNvPr id="4" name="Imagem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24650" y="19050"/>
          <a:ext cx="1523998" cy="7301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234721</xdr:colOff>
      <xdr:row>0</xdr:row>
      <xdr:rowOff>139474</xdr:rowOff>
    </xdr:from>
    <xdr:to>
      <xdr:col>5</xdr:col>
      <xdr:colOff>163285</xdr:colOff>
      <xdr:row>0</xdr:row>
      <xdr:rowOff>2309171</xdr:rowOff>
    </xdr:to>
    <xdr:pic>
      <xdr:nvPicPr>
        <xdr:cNvPr id="2" name="Imagem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847042" y="139474"/>
          <a:ext cx="3983493" cy="2169697"/>
        </a:xfrm>
        <a:prstGeom prst="rect">
          <a:avLst/>
        </a:prstGeom>
        <a:noFill/>
        <a:ln w="9525">
          <a:noFill/>
          <a:miter lim="800000"/>
          <a:headEnd/>
          <a:tailEnd/>
        </a:ln>
      </xdr:spPr>
    </xdr:pic>
    <xdr:clientData/>
  </xdr:twoCellAnchor>
  <xdr:twoCellAnchor editAs="oneCell">
    <xdr:from>
      <xdr:col>23</xdr:col>
      <xdr:colOff>424456</xdr:colOff>
      <xdr:row>0</xdr:row>
      <xdr:rowOff>54428</xdr:rowOff>
    </xdr:from>
    <xdr:to>
      <xdr:col>27</xdr:col>
      <xdr:colOff>693964</xdr:colOff>
      <xdr:row>0</xdr:row>
      <xdr:rowOff>2411530</xdr:rowOff>
    </xdr:to>
    <xdr:pic>
      <xdr:nvPicPr>
        <xdr:cNvPr id="3" name="Imagem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876242" y="54428"/>
          <a:ext cx="5494651" cy="23571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spa/Downloads/07%20-%20PLANILHA%20OR&#199;AMENTARIA%20E%20AFINS/PLANILHA%20OR&#199;AMENTARIA%20-%20BS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OR&#199;AMENTOS%202025/&#193;GUIA%20BRANCA/SEDE%20NOVA%20PREFEITURA/ATUALIZA&#199;&#195;O%20-%20FEVEREIRO%202025/FONTES%20-%20MODELO%20JAILSON/PLANILH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PLANILHA "/>
      <sheetName val="MEMÓRIA DE CÁLCULO"/>
      <sheetName val="CRONOGRAMA "/>
      <sheetName val="BDI"/>
      <sheetName val="CURVA ABC"/>
      <sheetName val="COMP-01"/>
      <sheetName val="COMP-02"/>
      <sheetName val="MERC.01"/>
      <sheetName val="COMP-03"/>
      <sheetName val="MERC.02"/>
      <sheetName val="COMP-04"/>
      <sheetName val="MERC.03"/>
      <sheetName val="COMP-05"/>
      <sheetName val="MERC.04"/>
      <sheetName val="COMP-06"/>
      <sheetName val="MERC.05"/>
      <sheetName val="COMP-07"/>
      <sheetName val="MERC.06"/>
      <sheetName val="COMP-08"/>
      <sheetName val="MERC.07"/>
      <sheetName val="COMP-09"/>
      <sheetName val="MERC.08"/>
      <sheetName val="COMP-10"/>
      <sheetName val="MERC.09"/>
      <sheetName val="MERC.10"/>
      <sheetName val="COMP-11"/>
      <sheetName val="MERC.11"/>
      <sheetName val="COMP-12"/>
      <sheetName val="MERC.12"/>
      <sheetName val="COMP-13"/>
      <sheetName val="MERC.13"/>
      <sheetName val="COMP-14"/>
      <sheetName val="MERC.14"/>
      <sheetName val="COMP-15"/>
      <sheetName val="MERC.15"/>
      <sheetName val="MERC.16"/>
      <sheetName val="MERC.17"/>
      <sheetName val="COMP-16"/>
      <sheetName val="MERC.18"/>
    </sheetNames>
    <sheetDataSet>
      <sheetData sheetId="0" refreshError="1"/>
      <sheetData sheetId="1" refreshError="1">
        <row r="7">
          <cell r="H7" t="str">
            <v>DATA BASE DA PLANILHA:</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PLANILHA "/>
      <sheetName val="CURVA ABC"/>
      <sheetName val="MEMÓRIA DE CÁLCULO"/>
      <sheetName val="CRONOGRAMA "/>
      <sheetName val="BDI"/>
      <sheetName val="COMP-11 "/>
      <sheetName val="COMP-12"/>
      <sheetName val="COMP-13"/>
      <sheetName val="MERC.14"/>
      <sheetName val="COMP-01"/>
      <sheetName val="MERC.01"/>
      <sheetName val="MERC.02"/>
      <sheetName val="MERC.12"/>
      <sheetName val="MERC.13"/>
      <sheetName val="COMP-02"/>
      <sheetName val="COMP-03"/>
      <sheetName val="MERC.03"/>
      <sheetName val="COMP-04"/>
      <sheetName val="MERC.04"/>
      <sheetName val="COMP-05"/>
      <sheetName val="MERC.05"/>
      <sheetName val="COMP-06"/>
      <sheetName val="MERC.06"/>
      <sheetName val="COMP-07"/>
      <sheetName val="MERC.07"/>
      <sheetName val="COMP-08"/>
      <sheetName val="MERC.08"/>
      <sheetName val="COMP-09"/>
      <sheetName val="MERC.09"/>
      <sheetName val="MERC.10"/>
      <sheetName val="MERC.11"/>
      <sheetName val="COMP-10"/>
    </sheetNames>
    <sheetDataSet>
      <sheetData sheetId="0"/>
      <sheetData sheetId="1"/>
      <sheetData sheetId="2"/>
      <sheetData sheetId="3"/>
      <sheetData sheetId="4">
        <row r="3">
          <cell r="E3" t="str">
            <v>JANEIRO 2025</v>
          </cell>
        </row>
      </sheetData>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71"/>
  <sheetViews>
    <sheetView tabSelected="1" zoomScale="130" zoomScaleNormal="130" workbookViewId="0">
      <selection activeCell="I32" sqref="I32"/>
    </sheetView>
  </sheetViews>
  <sheetFormatPr defaultRowHeight="15"/>
  <cols>
    <col min="1" max="1" width="7.140625" bestFit="1" customWidth="1"/>
    <col min="2" max="2" width="9.85546875" customWidth="1"/>
    <col min="3" max="3" width="64.7109375" customWidth="1"/>
    <col min="4" max="4" width="9.28515625" style="6" customWidth="1"/>
    <col min="5" max="5" width="6.42578125" customWidth="1"/>
    <col min="6" max="6" width="9.85546875" style="125" customWidth="1"/>
    <col min="7" max="8" width="11.42578125" style="39" customWidth="1"/>
    <col min="9" max="9" width="15.140625" style="39" customWidth="1"/>
    <col min="11" max="11" width="12.5703125" style="50" bestFit="1" customWidth="1"/>
  </cols>
  <sheetData>
    <row r="1" spans="1:11" ht="15" customHeight="1">
      <c r="A1" s="330"/>
      <c r="B1" s="324"/>
      <c r="C1" s="333" t="s">
        <v>52</v>
      </c>
      <c r="D1" s="333"/>
      <c r="E1" s="334"/>
      <c r="F1" s="334"/>
      <c r="G1" s="190"/>
      <c r="H1" s="324"/>
      <c r="I1" s="325"/>
    </row>
    <row r="2" spans="1:11">
      <c r="A2" s="331"/>
      <c r="B2" s="326"/>
      <c r="C2" s="335"/>
      <c r="D2" s="335"/>
      <c r="E2" s="335"/>
      <c r="F2" s="335"/>
      <c r="G2" s="191"/>
      <c r="H2" s="326"/>
      <c r="I2" s="327"/>
    </row>
    <row r="3" spans="1:11">
      <c r="A3" s="331"/>
      <c r="B3" s="326"/>
      <c r="C3" s="335"/>
      <c r="D3" s="335"/>
      <c r="E3" s="335"/>
      <c r="F3" s="335"/>
      <c r="G3" s="191"/>
      <c r="H3" s="326"/>
      <c r="I3" s="327"/>
    </row>
    <row r="4" spans="1:11">
      <c r="A4" s="332"/>
      <c r="B4" s="328"/>
      <c r="C4" s="336"/>
      <c r="D4" s="336"/>
      <c r="E4" s="336"/>
      <c r="F4" s="336"/>
      <c r="G4" s="192"/>
      <c r="H4" s="328"/>
      <c r="I4" s="329"/>
    </row>
    <row r="5" spans="1:11" s="6" customFormat="1" ht="53.25" customHeight="1">
      <c r="A5" s="340" t="s">
        <v>629</v>
      </c>
      <c r="B5" s="341"/>
      <c r="C5" s="341"/>
      <c r="D5" s="341"/>
      <c r="E5" s="341"/>
      <c r="F5" s="341"/>
      <c r="G5" s="341"/>
      <c r="H5" s="341"/>
      <c r="I5" s="342"/>
      <c r="K5" s="50"/>
    </row>
    <row r="6" spans="1:11" s="6" customFormat="1" ht="34.5" customHeight="1">
      <c r="A6" s="343" t="s">
        <v>832</v>
      </c>
      <c r="B6" s="344"/>
      <c r="C6" s="344"/>
      <c r="D6" s="344"/>
      <c r="E6" s="344"/>
      <c r="F6" s="344"/>
      <c r="G6" s="344"/>
      <c r="H6" s="344"/>
      <c r="I6" s="345"/>
      <c r="K6" s="50"/>
    </row>
    <row r="7" spans="1:11" s="6" customFormat="1" ht="18.75">
      <c r="A7" s="351" t="s">
        <v>729</v>
      </c>
      <c r="B7" s="352"/>
      <c r="C7" s="352"/>
      <c r="D7" s="352"/>
      <c r="E7" s="352"/>
      <c r="F7" s="353"/>
      <c r="G7" s="351" t="s">
        <v>1181</v>
      </c>
      <c r="H7" s="352"/>
      <c r="I7" s="353"/>
      <c r="K7" s="50"/>
    </row>
    <row r="8" spans="1:11" ht="21">
      <c r="A8" s="355" t="s">
        <v>544</v>
      </c>
      <c r="B8" s="356"/>
      <c r="C8" s="356"/>
      <c r="D8" s="356"/>
      <c r="E8" s="356"/>
      <c r="F8" s="356"/>
      <c r="G8" s="356"/>
      <c r="H8" s="356"/>
      <c r="I8" s="357"/>
    </row>
    <row r="9" spans="1:11" ht="27" customHeight="1">
      <c r="A9" s="2" t="s">
        <v>0</v>
      </c>
      <c r="B9" s="2" t="s">
        <v>1</v>
      </c>
      <c r="C9" s="2" t="s">
        <v>3</v>
      </c>
      <c r="D9" s="2" t="s">
        <v>2</v>
      </c>
      <c r="E9" s="2" t="s">
        <v>4</v>
      </c>
      <c r="F9" s="121" t="s">
        <v>36</v>
      </c>
      <c r="G9" s="37" t="s">
        <v>631</v>
      </c>
      <c r="H9" s="37" t="s">
        <v>632</v>
      </c>
      <c r="I9" s="37" t="s">
        <v>5</v>
      </c>
    </row>
    <row r="10" spans="1:11">
      <c r="A10" s="21"/>
      <c r="B10" s="44"/>
      <c r="C10" s="44"/>
      <c r="D10" s="47"/>
      <c r="E10" s="44"/>
      <c r="F10" s="45"/>
      <c r="G10" s="45"/>
      <c r="H10" s="45"/>
      <c r="I10" s="45"/>
    </row>
    <row r="11" spans="1:11">
      <c r="A11" s="297" t="s">
        <v>67</v>
      </c>
      <c r="B11" s="298" t="s">
        <v>8</v>
      </c>
      <c r="C11" s="299"/>
      <c r="D11" s="299"/>
      <c r="E11" s="300"/>
      <c r="F11" s="301"/>
      <c r="G11" s="301"/>
      <c r="H11" s="301"/>
      <c r="I11" s="302"/>
      <c r="J11" s="3"/>
    </row>
    <row r="12" spans="1:11" s="6" customFormat="1">
      <c r="A12" s="82" t="s">
        <v>6</v>
      </c>
      <c r="B12" s="83" t="s">
        <v>731</v>
      </c>
      <c r="C12" s="84" t="s">
        <v>128</v>
      </c>
      <c r="D12" s="85" t="s">
        <v>630</v>
      </c>
      <c r="E12" s="85" t="s">
        <v>35</v>
      </c>
      <c r="F12" s="86">
        <f>1455.4</f>
        <v>1455.4</v>
      </c>
      <c r="G12" s="86">
        <v>4.47</v>
      </c>
      <c r="H12" s="86">
        <f>G12*1.3136</f>
        <v>5.87</v>
      </c>
      <c r="I12" s="86">
        <f>F12*H12</f>
        <v>8543.2000000000007</v>
      </c>
      <c r="K12" s="50">
        <f>H12*F12</f>
        <v>8543.2000000000007</v>
      </c>
    </row>
    <row r="13" spans="1:11" s="6" customFormat="1">
      <c r="A13" s="82" t="s">
        <v>7</v>
      </c>
      <c r="B13" s="87" t="s">
        <v>732</v>
      </c>
      <c r="C13" s="88" t="s">
        <v>40</v>
      </c>
      <c r="D13" s="85" t="s">
        <v>630</v>
      </c>
      <c r="E13" s="82" t="s">
        <v>35</v>
      </c>
      <c r="F13" s="91">
        <f>1423.84</f>
        <v>1423.84</v>
      </c>
      <c r="G13" s="91">
        <v>10.95</v>
      </c>
      <c r="H13" s="86">
        <f t="shared" ref="H13:H28" si="0">G13*1.3136</f>
        <v>14.38</v>
      </c>
      <c r="I13" s="86">
        <f t="shared" ref="I13:I28" si="1">F13*H13</f>
        <v>20474.82</v>
      </c>
      <c r="K13" s="50">
        <f t="shared" ref="K13:K90" si="2">H13*F13</f>
        <v>20474.82</v>
      </c>
    </row>
    <row r="14" spans="1:11" s="6" customFormat="1" ht="30">
      <c r="A14" s="82" t="s">
        <v>53</v>
      </c>
      <c r="B14" s="87" t="s">
        <v>733</v>
      </c>
      <c r="C14" s="90" t="s">
        <v>645</v>
      </c>
      <c r="D14" s="85" t="s">
        <v>630</v>
      </c>
      <c r="E14" s="82" t="s">
        <v>646</v>
      </c>
      <c r="F14" s="91">
        <v>1</v>
      </c>
      <c r="G14" s="91">
        <v>23479.53</v>
      </c>
      <c r="H14" s="86">
        <f t="shared" si="0"/>
        <v>30842.71</v>
      </c>
      <c r="I14" s="86">
        <f t="shared" ref="I14" si="3">F14*H14</f>
        <v>30842.71</v>
      </c>
      <c r="K14" s="50">
        <f t="shared" ref="K14" si="4">H14*F14</f>
        <v>30842.71</v>
      </c>
    </row>
    <row r="15" spans="1:11" s="6" customFormat="1">
      <c r="A15" s="82" t="s">
        <v>54</v>
      </c>
      <c r="B15" s="87" t="s">
        <v>734</v>
      </c>
      <c r="C15" s="90" t="s">
        <v>730</v>
      </c>
      <c r="D15" s="85" t="s">
        <v>630</v>
      </c>
      <c r="E15" s="82" t="s">
        <v>35</v>
      </c>
      <c r="F15" s="91">
        <v>8</v>
      </c>
      <c r="G15" s="91">
        <v>244.44</v>
      </c>
      <c r="H15" s="86">
        <f t="shared" si="0"/>
        <v>321.10000000000002</v>
      </c>
      <c r="I15" s="86">
        <f t="shared" si="1"/>
        <v>2568.8000000000002</v>
      </c>
      <c r="K15" s="50">
        <f t="shared" si="2"/>
        <v>2568.8000000000002</v>
      </c>
    </row>
    <row r="16" spans="1:11" s="6" customFormat="1" ht="60">
      <c r="A16" s="82" t="s">
        <v>57</v>
      </c>
      <c r="B16" s="87" t="s">
        <v>735</v>
      </c>
      <c r="C16" s="90" t="s">
        <v>56</v>
      </c>
      <c r="D16" s="85" t="s">
        <v>630</v>
      </c>
      <c r="E16" s="82" t="s">
        <v>35</v>
      </c>
      <c r="F16" s="91">
        <v>14.5</v>
      </c>
      <c r="G16" s="91">
        <v>827.65</v>
      </c>
      <c r="H16" s="86">
        <f t="shared" si="0"/>
        <v>1087.2</v>
      </c>
      <c r="I16" s="86">
        <f t="shared" ref="I16:I21" si="5">F16*H16</f>
        <v>15764.4</v>
      </c>
      <c r="K16" s="50">
        <f t="shared" ref="K16:K21" si="6">H16*F16</f>
        <v>15764.4</v>
      </c>
    </row>
    <row r="17" spans="1:11" s="6" customFormat="1" ht="51.75" customHeight="1">
      <c r="A17" s="82" t="s">
        <v>59</v>
      </c>
      <c r="B17" s="87" t="s">
        <v>736</v>
      </c>
      <c r="C17" s="90" t="s">
        <v>647</v>
      </c>
      <c r="D17" s="85" t="s">
        <v>630</v>
      </c>
      <c r="E17" s="82" t="s">
        <v>35</v>
      </c>
      <c r="F17" s="91">
        <v>10.9</v>
      </c>
      <c r="G17" s="91">
        <v>579.35</v>
      </c>
      <c r="H17" s="86">
        <f t="shared" si="0"/>
        <v>761.03</v>
      </c>
      <c r="I17" s="86">
        <f t="shared" si="5"/>
        <v>8295.23</v>
      </c>
      <c r="K17" s="50">
        <f t="shared" si="6"/>
        <v>8295.23</v>
      </c>
    </row>
    <row r="18" spans="1:11" s="6" customFormat="1" ht="60">
      <c r="A18" s="82" t="s">
        <v>368</v>
      </c>
      <c r="B18" s="87" t="s">
        <v>737</v>
      </c>
      <c r="C18" s="90" t="s">
        <v>648</v>
      </c>
      <c r="D18" s="85" t="s">
        <v>630</v>
      </c>
      <c r="E18" s="82" t="s">
        <v>35</v>
      </c>
      <c r="F18" s="91">
        <v>24.2</v>
      </c>
      <c r="G18" s="91">
        <v>458.81</v>
      </c>
      <c r="H18" s="86">
        <f t="shared" si="0"/>
        <v>602.69000000000005</v>
      </c>
      <c r="I18" s="86">
        <f t="shared" si="5"/>
        <v>14585.1</v>
      </c>
      <c r="K18" s="50">
        <f t="shared" si="6"/>
        <v>14585.1</v>
      </c>
    </row>
    <row r="19" spans="1:11" s="6" customFormat="1" ht="60">
      <c r="A19" s="82" t="s">
        <v>411</v>
      </c>
      <c r="B19" s="87" t="s">
        <v>738</v>
      </c>
      <c r="C19" s="90" t="s">
        <v>649</v>
      </c>
      <c r="D19" s="85" t="s">
        <v>630</v>
      </c>
      <c r="E19" s="82" t="s">
        <v>35</v>
      </c>
      <c r="F19" s="91">
        <v>12</v>
      </c>
      <c r="G19" s="91">
        <v>201.48</v>
      </c>
      <c r="H19" s="86">
        <f t="shared" si="0"/>
        <v>264.66000000000003</v>
      </c>
      <c r="I19" s="86">
        <f t="shared" si="5"/>
        <v>3175.92</v>
      </c>
      <c r="K19" s="50">
        <f t="shared" si="6"/>
        <v>3175.92</v>
      </c>
    </row>
    <row r="20" spans="1:11" s="6" customFormat="1" ht="75">
      <c r="A20" s="82" t="s">
        <v>654</v>
      </c>
      <c r="B20" s="87" t="s">
        <v>739</v>
      </c>
      <c r="C20" s="90" t="s">
        <v>650</v>
      </c>
      <c r="D20" s="85" t="s">
        <v>630</v>
      </c>
      <c r="E20" s="82" t="s">
        <v>35</v>
      </c>
      <c r="F20" s="91">
        <v>6</v>
      </c>
      <c r="G20" s="91">
        <v>271.58999999999997</v>
      </c>
      <c r="H20" s="86">
        <f t="shared" si="0"/>
        <v>356.76</v>
      </c>
      <c r="I20" s="86">
        <f t="shared" si="5"/>
        <v>2140.56</v>
      </c>
      <c r="K20" s="50">
        <f t="shared" si="6"/>
        <v>2140.56</v>
      </c>
    </row>
    <row r="21" spans="1:11" s="6" customFormat="1" ht="30">
      <c r="A21" s="82" t="s">
        <v>657</v>
      </c>
      <c r="B21" s="87" t="s">
        <v>740</v>
      </c>
      <c r="C21" s="90" t="s">
        <v>652</v>
      </c>
      <c r="D21" s="85" t="s">
        <v>630</v>
      </c>
      <c r="E21" s="82" t="s">
        <v>340</v>
      </c>
      <c r="F21" s="91">
        <v>1</v>
      </c>
      <c r="G21" s="91">
        <v>2144.98</v>
      </c>
      <c r="H21" s="86">
        <f t="shared" si="0"/>
        <v>2817.65</v>
      </c>
      <c r="I21" s="86">
        <f t="shared" si="5"/>
        <v>2817.65</v>
      </c>
      <c r="K21" s="50">
        <f t="shared" si="6"/>
        <v>2817.65</v>
      </c>
    </row>
    <row r="22" spans="1:11" ht="60">
      <c r="A22" s="82" t="s">
        <v>659</v>
      </c>
      <c r="B22" s="87" t="s">
        <v>741</v>
      </c>
      <c r="C22" s="90" t="s">
        <v>651</v>
      </c>
      <c r="D22" s="85" t="s">
        <v>630</v>
      </c>
      <c r="E22" s="82" t="s">
        <v>653</v>
      </c>
      <c r="F22" s="91">
        <v>24</v>
      </c>
      <c r="G22" s="91">
        <v>1247.4000000000001</v>
      </c>
      <c r="H22" s="86">
        <f t="shared" si="0"/>
        <v>1638.58</v>
      </c>
      <c r="I22" s="86">
        <f t="shared" si="1"/>
        <v>39325.919999999998</v>
      </c>
      <c r="K22" s="50">
        <f t="shared" si="2"/>
        <v>39325.919999999998</v>
      </c>
    </row>
    <row r="23" spans="1:11" ht="60">
      <c r="A23" s="82" t="s">
        <v>661</v>
      </c>
      <c r="B23" s="87" t="s">
        <v>824</v>
      </c>
      <c r="C23" s="90" t="s">
        <v>58</v>
      </c>
      <c r="D23" s="85" t="s">
        <v>630</v>
      </c>
      <c r="E23" s="82" t="s">
        <v>49</v>
      </c>
      <c r="F23" s="91">
        <v>20</v>
      </c>
      <c r="G23" s="91">
        <v>454.77</v>
      </c>
      <c r="H23" s="86">
        <f t="shared" si="0"/>
        <v>597.39</v>
      </c>
      <c r="I23" s="86">
        <f t="shared" si="1"/>
        <v>11947.8</v>
      </c>
      <c r="K23" s="50">
        <f t="shared" si="2"/>
        <v>11947.8</v>
      </c>
    </row>
    <row r="24" spans="1:11" s="6" customFormat="1" ht="45">
      <c r="A24" s="82" t="s">
        <v>662</v>
      </c>
      <c r="B24" s="87" t="s">
        <v>742</v>
      </c>
      <c r="C24" s="90" t="s">
        <v>60</v>
      </c>
      <c r="D24" s="85" t="s">
        <v>630</v>
      </c>
      <c r="E24" s="82" t="s">
        <v>49</v>
      </c>
      <c r="F24" s="91">
        <v>25</v>
      </c>
      <c r="G24" s="91">
        <v>55.94</v>
      </c>
      <c r="H24" s="86">
        <f t="shared" si="0"/>
        <v>73.48</v>
      </c>
      <c r="I24" s="86">
        <f t="shared" si="1"/>
        <v>1837</v>
      </c>
      <c r="K24" s="50">
        <f t="shared" si="2"/>
        <v>1837</v>
      </c>
    </row>
    <row r="25" spans="1:11" s="6" customFormat="1" ht="45">
      <c r="A25" s="82" t="s">
        <v>663</v>
      </c>
      <c r="B25" s="92" t="s">
        <v>743</v>
      </c>
      <c r="C25" s="93" t="s">
        <v>410</v>
      </c>
      <c r="D25" s="85" t="s">
        <v>630</v>
      </c>
      <c r="E25" s="82" t="s">
        <v>49</v>
      </c>
      <c r="F25" s="91">
        <v>25</v>
      </c>
      <c r="G25" s="124">
        <v>436.14</v>
      </c>
      <c r="H25" s="86">
        <f t="shared" si="0"/>
        <v>572.91</v>
      </c>
      <c r="I25" s="86">
        <f t="shared" si="1"/>
        <v>14322.75</v>
      </c>
      <c r="K25" s="50">
        <f t="shared" si="2"/>
        <v>14322.75</v>
      </c>
    </row>
    <row r="26" spans="1:11" s="6" customFormat="1" ht="67.5" customHeight="1">
      <c r="A26" s="82" t="s">
        <v>664</v>
      </c>
      <c r="B26" s="87" t="s">
        <v>744</v>
      </c>
      <c r="C26" s="90" t="s">
        <v>746</v>
      </c>
      <c r="D26" s="85" t="s">
        <v>630</v>
      </c>
      <c r="E26" s="82" t="s">
        <v>49</v>
      </c>
      <c r="F26" s="91">
        <v>315.25</v>
      </c>
      <c r="G26" s="91">
        <v>146.1</v>
      </c>
      <c r="H26" s="86">
        <f t="shared" si="0"/>
        <v>191.92</v>
      </c>
      <c r="I26" s="86">
        <f t="shared" ref="I26:I27" si="7">F26*H26</f>
        <v>60502.78</v>
      </c>
      <c r="K26" s="50">
        <f>H26*F26</f>
        <v>60502.78</v>
      </c>
    </row>
    <row r="27" spans="1:11" s="6" customFormat="1" ht="30">
      <c r="A27" s="82" t="s">
        <v>665</v>
      </c>
      <c r="B27" s="87" t="s">
        <v>747</v>
      </c>
      <c r="C27" s="90" t="s">
        <v>658</v>
      </c>
      <c r="D27" s="94" t="s">
        <v>642</v>
      </c>
      <c r="E27" s="82" t="s">
        <v>340</v>
      </c>
      <c r="F27" s="91">
        <v>1</v>
      </c>
      <c r="G27" s="91">
        <v>2261.0700000000002</v>
      </c>
      <c r="H27" s="86">
        <f t="shared" si="0"/>
        <v>2970.14</v>
      </c>
      <c r="I27" s="86">
        <f t="shared" si="7"/>
        <v>2970.14</v>
      </c>
      <c r="K27" s="50">
        <f>H27*F27</f>
        <v>2970.14</v>
      </c>
    </row>
    <row r="28" spans="1:11" s="6" customFormat="1" ht="45">
      <c r="A28" s="82" t="s">
        <v>666</v>
      </c>
      <c r="B28" s="87" t="s">
        <v>745</v>
      </c>
      <c r="C28" s="90" t="s">
        <v>660</v>
      </c>
      <c r="D28" s="94" t="s">
        <v>630</v>
      </c>
      <c r="E28" s="82" t="s">
        <v>35</v>
      </c>
      <c r="F28" s="91">
        <v>12810.24</v>
      </c>
      <c r="G28" s="91">
        <v>21.13</v>
      </c>
      <c r="H28" s="86">
        <f t="shared" si="0"/>
        <v>27.76</v>
      </c>
      <c r="I28" s="86">
        <f t="shared" si="1"/>
        <v>355612.26</v>
      </c>
      <c r="K28" s="50">
        <f>H28*F28</f>
        <v>355612.26</v>
      </c>
    </row>
    <row r="29" spans="1:11">
      <c r="A29" s="320" t="s">
        <v>41</v>
      </c>
      <c r="B29" s="337"/>
      <c r="C29" s="337"/>
      <c r="D29" s="337"/>
      <c r="E29" s="337"/>
      <c r="F29" s="337"/>
      <c r="G29" s="337"/>
      <c r="H29" s="337"/>
      <c r="I29" s="46">
        <f>SUM(I12:I28)</f>
        <v>595727.04</v>
      </c>
      <c r="K29" s="50">
        <f t="shared" si="2"/>
        <v>0</v>
      </c>
    </row>
    <row r="30" spans="1:11" s="6" customFormat="1">
      <c r="A30" s="297" t="s">
        <v>71</v>
      </c>
      <c r="B30" s="314" t="s">
        <v>412</v>
      </c>
      <c r="C30" s="315"/>
      <c r="D30" s="303"/>
      <c r="E30" s="304"/>
      <c r="F30" s="305"/>
      <c r="G30" s="305"/>
      <c r="H30" s="305"/>
      <c r="I30" s="306"/>
      <c r="K30" s="50">
        <f t="shared" si="2"/>
        <v>0</v>
      </c>
    </row>
    <row r="31" spans="1:11" s="6" customFormat="1">
      <c r="A31" s="67" t="s">
        <v>62</v>
      </c>
      <c r="B31" s="321" t="s">
        <v>365</v>
      </c>
      <c r="C31" s="322"/>
      <c r="D31" s="80"/>
      <c r="E31" s="69"/>
      <c r="F31" s="122"/>
      <c r="G31" s="122"/>
      <c r="H31" s="122"/>
      <c r="I31" s="70"/>
      <c r="K31" s="50">
        <f t="shared" si="2"/>
        <v>0</v>
      </c>
    </row>
    <row r="32" spans="1:11" s="6" customFormat="1" ht="45">
      <c r="A32" s="82" t="s">
        <v>406</v>
      </c>
      <c r="B32" s="85">
        <v>101173</v>
      </c>
      <c r="C32" s="95" t="s">
        <v>633</v>
      </c>
      <c r="D32" s="85" t="s">
        <v>72</v>
      </c>
      <c r="E32" s="94" t="s">
        <v>49</v>
      </c>
      <c r="F32" s="86">
        <v>276</v>
      </c>
      <c r="G32" s="86">
        <v>67.37</v>
      </c>
      <c r="H32" s="86">
        <f>G32*1.3136</f>
        <v>88.5</v>
      </c>
      <c r="I32" s="86">
        <f>F32*H32</f>
        <v>24426</v>
      </c>
      <c r="K32" s="50">
        <f t="shared" si="2"/>
        <v>24426</v>
      </c>
    </row>
    <row r="33" spans="1:11" s="6" customFormat="1" ht="45">
      <c r="A33" s="82" t="s">
        <v>407</v>
      </c>
      <c r="B33" s="82">
        <v>101174</v>
      </c>
      <c r="C33" s="96" t="s">
        <v>634</v>
      </c>
      <c r="D33" s="82" t="s">
        <v>72</v>
      </c>
      <c r="E33" s="97" t="s">
        <v>49</v>
      </c>
      <c r="F33" s="91">
        <v>930</v>
      </c>
      <c r="G33" s="91">
        <v>94.42</v>
      </c>
      <c r="H33" s="86">
        <f t="shared" ref="H33:H36" si="8">G33*1.3136</f>
        <v>124.03</v>
      </c>
      <c r="I33" s="86">
        <f t="shared" ref="I33:I36" si="9">F33*H33</f>
        <v>115347.9</v>
      </c>
      <c r="K33" s="50">
        <f t="shared" si="2"/>
        <v>115347.9</v>
      </c>
    </row>
    <row r="34" spans="1:11" s="6" customFormat="1" ht="45">
      <c r="A34" s="82" t="s">
        <v>408</v>
      </c>
      <c r="B34" s="82">
        <v>100899</v>
      </c>
      <c r="C34" s="96" t="s">
        <v>635</v>
      </c>
      <c r="D34" s="82" t="s">
        <v>72</v>
      </c>
      <c r="E34" s="97" t="s">
        <v>49</v>
      </c>
      <c r="F34" s="91">
        <v>580</v>
      </c>
      <c r="G34" s="91">
        <v>99.21</v>
      </c>
      <c r="H34" s="86">
        <f t="shared" si="8"/>
        <v>130.32</v>
      </c>
      <c r="I34" s="86">
        <f t="shared" si="9"/>
        <v>75585.600000000006</v>
      </c>
      <c r="K34" s="50">
        <f t="shared" si="2"/>
        <v>75585.600000000006</v>
      </c>
    </row>
    <row r="35" spans="1:11" s="6" customFormat="1" ht="51" customHeight="1">
      <c r="A35" s="82" t="s">
        <v>409</v>
      </c>
      <c r="B35" s="82">
        <v>100897</v>
      </c>
      <c r="C35" s="98" t="s">
        <v>636</v>
      </c>
      <c r="D35" s="82" t="s">
        <v>72</v>
      </c>
      <c r="E35" s="97" t="s">
        <v>49</v>
      </c>
      <c r="F35" s="91">
        <v>48</v>
      </c>
      <c r="G35" s="91">
        <v>139.18</v>
      </c>
      <c r="H35" s="86">
        <f t="shared" si="8"/>
        <v>182.83</v>
      </c>
      <c r="I35" s="86">
        <f t="shared" si="9"/>
        <v>8775.84</v>
      </c>
      <c r="K35" s="50">
        <f t="shared" ref="K35" si="10">H35*F35</f>
        <v>8775.84</v>
      </c>
    </row>
    <row r="36" spans="1:11" s="6" customFormat="1" ht="21.75" customHeight="1">
      <c r="A36" s="82" t="s">
        <v>678</v>
      </c>
      <c r="B36" s="87" t="s">
        <v>748</v>
      </c>
      <c r="C36" s="98" t="s">
        <v>679</v>
      </c>
      <c r="D36" s="82" t="s">
        <v>680</v>
      </c>
      <c r="E36" s="97" t="s">
        <v>64</v>
      </c>
      <c r="F36" s="91">
        <v>12.95</v>
      </c>
      <c r="G36" s="91">
        <v>335.21</v>
      </c>
      <c r="H36" s="86">
        <f t="shared" si="8"/>
        <v>440.33</v>
      </c>
      <c r="I36" s="86">
        <f t="shared" si="9"/>
        <v>5702.27</v>
      </c>
      <c r="K36" s="50">
        <f t="shared" si="2"/>
        <v>5702.27</v>
      </c>
    </row>
    <row r="37" spans="1:11" s="6" customFormat="1">
      <c r="A37" s="320" t="s">
        <v>66</v>
      </c>
      <c r="B37" s="337"/>
      <c r="C37" s="337"/>
      <c r="D37" s="337"/>
      <c r="E37" s="337"/>
      <c r="F37" s="337"/>
      <c r="G37" s="337"/>
      <c r="H37" s="337"/>
      <c r="I37" s="46">
        <f>SUM(I32:I36)</f>
        <v>229837.61</v>
      </c>
      <c r="K37" s="50">
        <f t="shared" si="2"/>
        <v>0</v>
      </c>
    </row>
    <row r="38" spans="1:11" s="6" customFormat="1">
      <c r="A38" s="297" t="s">
        <v>70</v>
      </c>
      <c r="B38" s="338" t="s">
        <v>61</v>
      </c>
      <c r="C38" s="339"/>
      <c r="D38" s="299"/>
      <c r="E38" s="300"/>
      <c r="F38" s="301"/>
      <c r="G38" s="301"/>
      <c r="H38" s="301"/>
      <c r="I38" s="302"/>
      <c r="K38" s="50">
        <f t="shared" si="2"/>
        <v>0</v>
      </c>
    </row>
    <row r="39" spans="1:11" s="6" customFormat="1" ht="30">
      <c r="A39" s="82" t="s">
        <v>68</v>
      </c>
      <c r="B39" s="83" t="s">
        <v>749</v>
      </c>
      <c r="C39" s="99" t="s">
        <v>63</v>
      </c>
      <c r="D39" s="85" t="s">
        <v>630</v>
      </c>
      <c r="E39" s="85" t="s">
        <v>64</v>
      </c>
      <c r="F39" s="86">
        <v>209.45</v>
      </c>
      <c r="G39" s="86">
        <v>58.11</v>
      </c>
      <c r="H39" s="86">
        <f>G39*1.3136</f>
        <v>76.33</v>
      </c>
      <c r="I39" s="86">
        <f>F39*H39</f>
        <v>15987.32</v>
      </c>
      <c r="K39" s="50">
        <f t="shared" si="2"/>
        <v>15987.32</v>
      </c>
    </row>
    <row r="40" spans="1:11" s="6" customFormat="1">
      <c r="A40" s="292" t="s">
        <v>77</v>
      </c>
      <c r="B40" s="87" t="s">
        <v>750</v>
      </c>
      <c r="C40" s="88" t="s">
        <v>65</v>
      </c>
      <c r="D40" s="85" t="s">
        <v>630</v>
      </c>
      <c r="E40" s="292" t="s">
        <v>64</v>
      </c>
      <c r="F40" s="91">
        <f>171.73</f>
        <v>171.73</v>
      </c>
      <c r="G40" s="91">
        <v>62.58</v>
      </c>
      <c r="H40" s="86">
        <f>G40*1.3136</f>
        <v>82.21</v>
      </c>
      <c r="I40" s="86">
        <f>F40*H40</f>
        <v>14117.92</v>
      </c>
      <c r="K40" s="50">
        <f t="shared" ref="K40" si="11">H40*F40</f>
        <v>14117.92</v>
      </c>
    </row>
    <row r="41" spans="1:11" s="6" customFormat="1" ht="34.5" customHeight="1">
      <c r="A41" s="82" t="s">
        <v>1169</v>
      </c>
      <c r="B41" s="87" t="s">
        <v>1170</v>
      </c>
      <c r="C41" s="90" t="s">
        <v>1171</v>
      </c>
      <c r="D41" s="85" t="s">
        <v>630</v>
      </c>
      <c r="E41" s="82" t="s">
        <v>64</v>
      </c>
      <c r="F41" s="91">
        <v>263.66000000000003</v>
      </c>
      <c r="G41" s="91">
        <v>200.58</v>
      </c>
      <c r="H41" s="86">
        <f>G41*1.3136</f>
        <v>263.48</v>
      </c>
      <c r="I41" s="86">
        <f>F41*H41</f>
        <v>69469.14</v>
      </c>
      <c r="K41" s="50">
        <f t="shared" si="2"/>
        <v>69469.14</v>
      </c>
    </row>
    <row r="42" spans="1:11" s="6" customFormat="1">
      <c r="A42" s="320" t="s">
        <v>83</v>
      </c>
      <c r="B42" s="337"/>
      <c r="C42" s="337"/>
      <c r="D42" s="337"/>
      <c r="E42" s="337"/>
      <c r="F42" s="337"/>
      <c r="G42" s="337"/>
      <c r="H42" s="337"/>
      <c r="I42" s="46">
        <f>SUM(I39:I41)</f>
        <v>99574.38</v>
      </c>
      <c r="K42" s="50">
        <f t="shared" si="2"/>
        <v>0</v>
      </c>
    </row>
    <row r="43" spans="1:11" s="6" customFormat="1">
      <c r="A43" s="297" t="s">
        <v>370</v>
      </c>
      <c r="B43" s="316" t="s">
        <v>69</v>
      </c>
      <c r="C43" s="317"/>
      <c r="D43" s="307"/>
      <c r="E43" s="300"/>
      <c r="F43" s="301"/>
      <c r="G43" s="301"/>
      <c r="H43" s="301"/>
      <c r="I43" s="302"/>
      <c r="K43" s="50">
        <f t="shared" si="2"/>
        <v>0</v>
      </c>
    </row>
    <row r="44" spans="1:11" s="6" customFormat="1" ht="45">
      <c r="A44" s="100" t="s">
        <v>88</v>
      </c>
      <c r="B44" s="101" t="s">
        <v>751</v>
      </c>
      <c r="C44" s="95" t="s">
        <v>682</v>
      </c>
      <c r="D44" s="85" t="s">
        <v>680</v>
      </c>
      <c r="E44" s="94" t="s">
        <v>64</v>
      </c>
      <c r="F44" s="102">
        <f>4.67</f>
        <v>4.67</v>
      </c>
      <c r="G44" s="102">
        <v>670.16</v>
      </c>
      <c r="H44" s="102">
        <f>G44*1.3136</f>
        <v>880.32</v>
      </c>
      <c r="I44" s="102">
        <f>F44*H44</f>
        <v>4111.09</v>
      </c>
      <c r="K44" s="50">
        <f t="shared" si="2"/>
        <v>4111.09</v>
      </c>
    </row>
    <row r="45" spans="1:11" s="6" customFormat="1" ht="45">
      <c r="A45" s="100" t="s">
        <v>89</v>
      </c>
      <c r="B45" s="87" t="s">
        <v>752</v>
      </c>
      <c r="C45" s="96" t="s">
        <v>73</v>
      </c>
      <c r="D45" s="85" t="s">
        <v>630</v>
      </c>
      <c r="E45" s="97" t="s">
        <v>35</v>
      </c>
      <c r="F45" s="123">
        <f>235.59</f>
        <v>235.59</v>
      </c>
      <c r="G45" s="91">
        <v>100.48</v>
      </c>
      <c r="H45" s="102">
        <f t="shared" ref="H45:H49" si="12">G45*1.3136</f>
        <v>131.99</v>
      </c>
      <c r="I45" s="102">
        <f t="shared" ref="I45:I49" si="13">F45*H45</f>
        <v>31095.52</v>
      </c>
      <c r="K45" s="50">
        <f t="shared" si="2"/>
        <v>31095.52</v>
      </c>
    </row>
    <row r="46" spans="1:11" s="6" customFormat="1" ht="30">
      <c r="A46" s="100" t="s">
        <v>369</v>
      </c>
      <c r="B46" s="87" t="s">
        <v>1078</v>
      </c>
      <c r="C46" s="96" t="s">
        <v>882</v>
      </c>
      <c r="D46" s="85" t="s">
        <v>630</v>
      </c>
      <c r="E46" s="97" t="s">
        <v>64</v>
      </c>
      <c r="F46" s="123">
        <v>37.72</v>
      </c>
      <c r="G46" s="91">
        <v>870.83</v>
      </c>
      <c r="H46" s="102">
        <f t="shared" si="12"/>
        <v>1143.92</v>
      </c>
      <c r="I46" s="102">
        <f t="shared" si="13"/>
        <v>43148.66</v>
      </c>
      <c r="K46" s="50">
        <f t="shared" si="2"/>
        <v>43148.66</v>
      </c>
    </row>
    <row r="47" spans="1:11" s="6" customFormat="1" ht="30">
      <c r="A47" s="100" t="s">
        <v>90</v>
      </c>
      <c r="B47" s="87" t="s">
        <v>753</v>
      </c>
      <c r="C47" s="96" t="s">
        <v>74</v>
      </c>
      <c r="D47" s="85" t="s">
        <v>630</v>
      </c>
      <c r="E47" s="97" t="s">
        <v>76</v>
      </c>
      <c r="F47" s="123">
        <f>827.7</f>
        <v>827.7</v>
      </c>
      <c r="G47" s="91">
        <v>11.26</v>
      </c>
      <c r="H47" s="102">
        <f t="shared" si="12"/>
        <v>14.79</v>
      </c>
      <c r="I47" s="102">
        <f t="shared" si="13"/>
        <v>12241.68</v>
      </c>
      <c r="K47" s="50">
        <f t="shared" si="2"/>
        <v>12241.68</v>
      </c>
    </row>
    <row r="48" spans="1:11" s="6" customFormat="1" ht="30">
      <c r="A48" s="100" t="s">
        <v>413</v>
      </c>
      <c r="B48" s="87" t="s">
        <v>754</v>
      </c>
      <c r="C48" s="96" t="s">
        <v>75</v>
      </c>
      <c r="D48" s="85" t="s">
        <v>630</v>
      </c>
      <c r="E48" s="97" t="s">
        <v>76</v>
      </c>
      <c r="F48" s="123">
        <v>467.1</v>
      </c>
      <c r="G48" s="91">
        <v>11.83</v>
      </c>
      <c r="H48" s="102">
        <f t="shared" si="12"/>
        <v>15.54</v>
      </c>
      <c r="I48" s="102">
        <f t="shared" ref="I48" si="14">F48*H48</f>
        <v>7258.73</v>
      </c>
      <c r="K48" s="50">
        <f t="shared" ref="K48" si="15">H48*F48</f>
        <v>7258.73</v>
      </c>
    </row>
    <row r="49" spans="1:14" s="6" customFormat="1" ht="30">
      <c r="A49" s="100" t="s">
        <v>684</v>
      </c>
      <c r="B49" s="87" t="s">
        <v>755</v>
      </c>
      <c r="C49" s="96" t="s">
        <v>81</v>
      </c>
      <c r="D49" s="85" t="s">
        <v>630</v>
      </c>
      <c r="E49" s="97" t="s">
        <v>76</v>
      </c>
      <c r="F49" s="123">
        <v>590.6</v>
      </c>
      <c r="G49" s="91">
        <v>12.01</v>
      </c>
      <c r="H49" s="102">
        <f t="shared" si="12"/>
        <v>15.78</v>
      </c>
      <c r="I49" s="102">
        <f t="shared" si="13"/>
        <v>9319.67</v>
      </c>
      <c r="K49" s="50">
        <f t="shared" si="2"/>
        <v>9319.67</v>
      </c>
    </row>
    <row r="50" spans="1:14" s="6" customFormat="1">
      <c r="A50" s="320" t="s">
        <v>540</v>
      </c>
      <c r="B50" s="337"/>
      <c r="C50" s="337"/>
      <c r="D50" s="337"/>
      <c r="E50" s="337"/>
      <c r="F50" s="337"/>
      <c r="G50" s="337"/>
      <c r="H50" s="337"/>
      <c r="I50" s="46">
        <f>SUM(I44:I49)</f>
        <v>107175.35</v>
      </c>
      <c r="K50" s="50">
        <f t="shared" si="2"/>
        <v>0</v>
      </c>
    </row>
    <row r="51" spans="1:14" s="6" customFormat="1">
      <c r="A51" s="297" t="s">
        <v>92</v>
      </c>
      <c r="B51" s="316" t="s">
        <v>78</v>
      </c>
      <c r="C51" s="317"/>
      <c r="D51" s="307"/>
      <c r="E51" s="300"/>
      <c r="F51" s="301"/>
      <c r="G51" s="301"/>
      <c r="H51" s="301"/>
      <c r="I51" s="302"/>
      <c r="K51" s="50">
        <f t="shared" si="2"/>
        <v>0</v>
      </c>
    </row>
    <row r="52" spans="1:14" s="6" customFormat="1" ht="60">
      <c r="A52" s="100" t="s">
        <v>94</v>
      </c>
      <c r="B52" s="83" t="s">
        <v>831</v>
      </c>
      <c r="C52" s="99" t="s">
        <v>830</v>
      </c>
      <c r="D52" s="85" t="s">
        <v>630</v>
      </c>
      <c r="E52" s="94" t="s">
        <v>35</v>
      </c>
      <c r="F52" s="86">
        <v>1359.43</v>
      </c>
      <c r="G52" s="86">
        <v>124.5</v>
      </c>
      <c r="H52" s="86">
        <f>G52*1.3136</f>
        <v>163.54</v>
      </c>
      <c r="I52" s="102">
        <f>F52*H52</f>
        <v>222321.18</v>
      </c>
      <c r="K52" s="50">
        <f t="shared" si="2"/>
        <v>222321.18</v>
      </c>
    </row>
    <row r="53" spans="1:14" s="6" customFormat="1" ht="45">
      <c r="A53" s="100" t="s">
        <v>125</v>
      </c>
      <c r="B53" s="87" t="s">
        <v>756</v>
      </c>
      <c r="C53" s="90" t="s">
        <v>79</v>
      </c>
      <c r="D53" s="85" t="s">
        <v>630</v>
      </c>
      <c r="E53" s="97" t="s">
        <v>64</v>
      </c>
      <c r="F53" s="91">
        <v>141.76</v>
      </c>
      <c r="G53" s="91">
        <v>681.02</v>
      </c>
      <c r="H53" s="86">
        <f t="shared" ref="H53:H56" si="16">G53*1.3136</f>
        <v>894.59</v>
      </c>
      <c r="I53" s="102">
        <f t="shared" ref="I53:I56" si="17">F53*H53</f>
        <v>126817.08</v>
      </c>
      <c r="K53" s="50">
        <f t="shared" si="2"/>
        <v>126817.08</v>
      </c>
    </row>
    <row r="54" spans="1:14" s="6" customFormat="1" ht="30">
      <c r="A54" s="100" t="s">
        <v>126</v>
      </c>
      <c r="B54" s="87" t="s">
        <v>757</v>
      </c>
      <c r="C54" s="90" t="s">
        <v>74</v>
      </c>
      <c r="D54" s="85" t="s">
        <v>630</v>
      </c>
      <c r="E54" s="97" t="s">
        <v>76</v>
      </c>
      <c r="F54" s="91">
        <v>3706.02</v>
      </c>
      <c r="G54" s="91">
        <v>11.26</v>
      </c>
      <c r="H54" s="86">
        <f t="shared" si="16"/>
        <v>14.79</v>
      </c>
      <c r="I54" s="102">
        <f t="shared" ref="I54" si="18">F54*H54</f>
        <v>54812.04</v>
      </c>
      <c r="K54" s="50">
        <f t="shared" ref="K54" si="19">H54*F54</f>
        <v>54812.04</v>
      </c>
    </row>
    <row r="55" spans="1:14" s="6" customFormat="1" ht="30">
      <c r="A55" s="100" t="s">
        <v>127</v>
      </c>
      <c r="B55" s="87" t="s">
        <v>758</v>
      </c>
      <c r="C55" s="90" t="s">
        <v>80</v>
      </c>
      <c r="D55" s="85" t="s">
        <v>630</v>
      </c>
      <c r="E55" s="97" t="s">
        <v>76</v>
      </c>
      <c r="F55" s="91">
        <v>2648.3</v>
      </c>
      <c r="G55" s="91">
        <v>11.83</v>
      </c>
      <c r="H55" s="86">
        <f t="shared" si="16"/>
        <v>15.54</v>
      </c>
      <c r="I55" s="102">
        <f t="shared" si="17"/>
        <v>41154.58</v>
      </c>
      <c r="K55" s="50">
        <f t="shared" si="2"/>
        <v>41154.58</v>
      </c>
    </row>
    <row r="56" spans="1:14" s="6" customFormat="1" ht="30">
      <c r="A56" s="100" t="s">
        <v>691</v>
      </c>
      <c r="B56" s="87" t="s">
        <v>759</v>
      </c>
      <c r="C56" s="90" t="s">
        <v>81</v>
      </c>
      <c r="D56" s="85" t="s">
        <v>630</v>
      </c>
      <c r="E56" s="97" t="s">
        <v>76</v>
      </c>
      <c r="F56" s="91">
        <v>1590.9</v>
      </c>
      <c r="G56" s="91">
        <v>12.01</v>
      </c>
      <c r="H56" s="86">
        <f t="shared" si="16"/>
        <v>15.78</v>
      </c>
      <c r="I56" s="102">
        <f t="shared" si="17"/>
        <v>25104.400000000001</v>
      </c>
      <c r="J56" s="49"/>
      <c r="K56" s="50">
        <f t="shared" si="2"/>
        <v>25104.400000000001</v>
      </c>
      <c r="L56" s="49"/>
      <c r="M56" s="49"/>
      <c r="N56" s="49"/>
    </row>
    <row r="57" spans="1:14" s="6" customFormat="1">
      <c r="A57" s="320" t="s">
        <v>97</v>
      </c>
      <c r="B57" s="337"/>
      <c r="C57" s="337"/>
      <c r="D57" s="337"/>
      <c r="E57" s="337"/>
      <c r="F57" s="337"/>
      <c r="G57" s="337"/>
      <c r="H57" s="337"/>
      <c r="I57" s="46">
        <f>SUM(I52:I56)</f>
        <v>470209.28000000003</v>
      </c>
      <c r="J57" s="41"/>
      <c r="K57" s="50">
        <f t="shared" si="2"/>
        <v>0</v>
      </c>
      <c r="L57" s="41"/>
      <c r="M57" s="41"/>
      <c r="N57" s="41"/>
    </row>
    <row r="58" spans="1:14" s="6" customFormat="1">
      <c r="A58" s="308">
        <v>6</v>
      </c>
      <c r="B58" s="316" t="s">
        <v>366</v>
      </c>
      <c r="C58" s="317"/>
      <c r="D58" s="307"/>
      <c r="E58" s="300"/>
      <c r="F58" s="301"/>
      <c r="G58" s="301"/>
      <c r="H58" s="301"/>
      <c r="I58" s="302"/>
      <c r="K58" s="50">
        <f t="shared" si="2"/>
        <v>0</v>
      </c>
    </row>
    <row r="59" spans="1:14" s="6" customFormat="1" ht="64.5" customHeight="1">
      <c r="A59" s="97" t="s">
        <v>133</v>
      </c>
      <c r="B59" s="85" t="s">
        <v>117</v>
      </c>
      <c r="C59" s="99" t="s">
        <v>864</v>
      </c>
      <c r="D59" s="85" t="s">
        <v>630</v>
      </c>
      <c r="E59" s="94" t="s">
        <v>35</v>
      </c>
      <c r="F59" s="86">
        <v>918.47</v>
      </c>
      <c r="G59" s="86">
        <v>235.52</v>
      </c>
      <c r="H59" s="86">
        <f>G59*1.3136</f>
        <v>309.38</v>
      </c>
      <c r="I59" s="102">
        <f>F59*H59</f>
        <v>284156.25</v>
      </c>
      <c r="J59" s="126"/>
      <c r="K59" s="50">
        <f t="shared" si="2"/>
        <v>284156.25</v>
      </c>
    </row>
    <row r="60" spans="1:14" s="6" customFormat="1">
      <c r="A60" s="320" t="s">
        <v>103</v>
      </c>
      <c r="B60" s="337"/>
      <c r="C60" s="337"/>
      <c r="D60" s="337"/>
      <c r="E60" s="337"/>
      <c r="F60" s="337"/>
      <c r="G60" s="337"/>
      <c r="H60" s="337"/>
      <c r="I60" s="46">
        <f>SUM(I59)</f>
        <v>284156.25</v>
      </c>
      <c r="K60" s="50">
        <f t="shared" si="2"/>
        <v>0</v>
      </c>
    </row>
    <row r="61" spans="1:14" s="6" customFormat="1">
      <c r="A61" s="297" t="s">
        <v>99</v>
      </c>
      <c r="B61" s="316" t="s">
        <v>84</v>
      </c>
      <c r="C61" s="317"/>
      <c r="D61" s="307"/>
      <c r="E61" s="300"/>
      <c r="F61" s="301"/>
      <c r="G61" s="301"/>
      <c r="H61" s="301"/>
      <c r="I61" s="302"/>
      <c r="K61" s="50">
        <f t="shared" si="2"/>
        <v>0</v>
      </c>
    </row>
    <row r="62" spans="1:14" s="6" customFormat="1" ht="45">
      <c r="A62" s="82" t="s">
        <v>102</v>
      </c>
      <c r="B62" s="83" t="s">
        <v>760</v>
      </c>
      <c r="C62" s="95" t="s">
        <v>85</v>
      </c>
      <c r="D62" s="85" t="s">
        <v>630</v>
      </c>
      <c r="E62" s="94" t="s">
        <v>35</v>
      </c>
      <c r="F62" s="86">
        <v>342.91</v>
      </c>
      <c r="G62" s="86">
        <v>112</v>
      </c>
      <c r="H62" s="86">
        <f>G62*1.3136</f>
        <v>147.12</v>
      </c>
      <c r="I62" s="86">
        <f>F62*H62</f>
        <v>50448.92</v>
      </c>
      <c r="K62" s="50">
        <f t="shared" si="2"/>
        <v>50448.92</v>
      </c>
    </row>
    <row r="63" spans="1:14" s="6" customFormat="1" ht="30">
      <c r="A63" s="82" t="s">
        <v>161</v>
      </c>
      <c r="B63" s="87" t="s">
        <v>761</v>
      </c>
      <c r="C63" s="96" t="s">
        <v>105</v>
      </c>
      <c r="D63" s="85" t="s">
        <v>630</v>
      </c>
      <c r="E63" s="97" t="s">
        <v>35</v>
      </c>
      <c r="F63" s="91">
        <v>342.91</v>
      </c>
      <c r="G63" s="91">
        <v>89.8</v>
      </c>
      <c r="H63" s="86">
        <f t="shared" ref="H63:H67" si="20">G63*1.3136</f>
        <v>117.96</v>
      </c>
      <c r="I63" s="86">
        <f t="shared" ref="I63:I67" si="21">F63*H63</f>
        <v>40449.660000000003</v>
      </c>
      <c r="K63" s="50">
        <f t="shared" si="2"/>
        <v>40449.660000000003</v>
      </c>
    </row>
    <row r="64" spans="1:14" s="6" customFormat="1">
      <c r="A64" s="82" t="s">
        <v>162</v>
      </c>
      <c r="B64" s="87" t="s">
        <v>762</v>
      </c>
      <c r="C64" s="103" t="s">
        <v>86</v>
      </c>
      <c r="D64" s="85" t="s">
        <v>630</v>
      </c>
      <c r="E64" s="97" t="s">
        <v>49</v>
      </c>
      <c r="F64" s="91">
        <v>108.02</v>
      </c>
      <c r="G64" s="91">
        <v>43.8</v>
      </c>
      <c r="H64" s="86">
        <f t="shared" si="20"/>
        <v>57.54</v>
      </c>
      <c r="I64" s="86">
        <f t="shared" si="21"/>
        <v>6215.47</v>
      </c>
      <c r="K64" s="50">
        <f t="shared" si="2"/>
        <v>6215.47</v>
      </c>
    </row>
    <row r="65" spans="1:11" s="6" customFormat="1">
      <c r="A65" s="82" t="s">
        <v>163</v>
      </c>
      <c r="B65" s="87">
        <v>130308</v>
      </c>
      <c r="C65" s="96" t="s">
        <v>693</v>
      </c>
      <c r="D65" s="85" t="s">
        <v>630</v>
      </c>
      <c r="E65" s="97" t="s">
        <v>49</v>
      </c>
      <c r="F65" s="91">
        <v>195.92</v>
      </c>
      <c r="G65" s="91">
        <v>52.59</v>
      </c>
      <c r="H65" s="86">
        <f t="shared" si="20"/>
        <v>69.08</v>
      </c>
      <c r="I65" s="86">
        <f t="shared" si="21"/>
        <v>13534.15</v>
      </c>
      <c r="K65" s="50">
        <f t="shared" si="2"/>
        <v>13534.15</v>
      </c>
    </row>
    <row r="66" spans="1:11" s="6" customFormat="1" ht="30">
      <c r="A66" s="82" t="s">
        <v>164</v>
      </c>
      <c r="B66" s="87" t="s">
        <v>763</v>
      </c>
      <c r="C66" s="96" t="s">
        <v>87</v>
      </c>
      <c r="D66" s="85" t="s">
        <v>630</v>
      </c>
      <c r="E66" s="97" t="s">
        <v>49</v>
      </c>
      <c r="F66" s="91">
        <v>37.4</v>
      </c>
      <c r="G66" s="91">
        <v>270.05</v>
      </c>
      <c r="H66" s="86">
        <f t="shared" si="20"/>
        <v>354.74</v>
      </c>
      <c r="I66" s="86">
        <f t="shared" si="21"/>
        <v>13267.28</v>
      </c>
      <c r="K66" s="50">
        <f t="shared" si="2"/>
        <v>13267.28</v>
      </c>
    </row>
    <row r="67" spans="1:11" s="6" customFormat="1">
      <c r="A67" s="82" t="s">
        <v>165</v>
      </c>
      <c r="B67" s="87">
        <v>100202</v>
      </c>
      <c r="C67" s="103" t="s">
        <v>91</v>
      </c>
      <c r="D67" s="85" t="s">
        <v>630</v>
      </c>
      <c r="E67" s="97" t="s">
        <v>35</v>
      </c>
      <c r="F67" s="91">
        <v>49.47</v>
      </c>
      <c r="G67" s="91">
        <v>58.82</v>
      </c>
      <c r="H67" s="86">
        <f t="shared" si="20"/>
        <v>77.27</v>
      </c>
      <c r="I67" s="86">
        <f t="shared" si="21"/>
        <v>3822.55</v>
      </c>
      <c r="K67" s="50">
        <f t="shared" si="2"/>
        <v>3822.55</v>
      </c>
    </row>
    <row r="68" spans="1:11" s="6" customFormat="1">
      <c r="A68" s="320" t="s">
        <v>104</v>
      </c>
      <c r="B68" s="337"/>
      <c r="C68" s="337"/>
      <c r="D68" s="337"/>
      <c r="E68" s="337"/>
      <c r="F68" s="337"/>
      <c r="G68" s="337"/>
      <c r="H68" s="337"/>
      <c r="I68" s="46">
        <f>SUM(I62:I67)</f>
        <v>127738.03</v>
      </c>
      <c r="K68" s="50">
        <f t="shared" si="2"/>
        <v>0</v>
      </c>
    </row>
    <row r="69" spans="1:11" s="6" customFormat="1">
      <c r="A69" s="297" t="s">
        <v>166</v>
      </c>
      <c r="B69" s="314" t="s">
        <v>93</v>
      </c>
      <c r="C69" s="315"/>
      <c r="D69" s="303"/>
      <c r="E69" s="304"/>
      <c r="F69" s="305"/>
      <c r="G69" s="305"/>
      <c r="H69" s="305"/>
      <c r="I69" s="306"/>
      <c r="K69" s="50">
        <f t="shared" si="2"/>
        <v>0</v>
      </c>
    </row>
    <row r="70" spans="1:11" s="6" customFormat="1">
      <c r="A70" s="72" t="s">
        <v>51</v>
      </c>
      <c r="B70" s="311" t="s">
        <v>95</v>
      </c>
      <c r="C70" s="312"/>
      <c r="D70" s="71"/>
      <c r="E70" s="69"/>
      <c r="F70" s="122"/>
      <c r="G70" s="122"/>
      <c r="H70" s="122"/>
      <c r="I70" s="70"/>
      <c r="K70" s="50">
        <f t="shared" si="2"/>
        <v>0</v>
      </c>
    </row>
    <row r="71" spans="1:11" s="6" customFormat="1" ht="63.75" customHeight="1">
      <c r="A71" s="97" t="s">
        <v>414</v>
      </c>
      <c r="B71" s="83" t="s">
        <v>764</v>
      </c>
      <c r="C71" s="99" t="s">
        <v>825</v>
      </c>
      <c r="D71" s="85" t="s">
        <v>630</v>
      </c>
      <c r="E71" s="85" t="s">
        <v>35</v>
      </c>
      <c r="F71" s="86">
        <v>531.16999999999996</v>
      </c>
      <c r="G71" s="86">
        <v>65.069999999999993</v>
      </c>
      <c r="H71" s="86">
        <f>G71*1.3136</f>
        <v>85.48</v>
      </c>
      <c r="I71" s="86">
        <f>F71*H71</f>
        <v>45404.41</v>
      </c>
      <c r="K71" s="50">
        <f t="shared" si="2"/>
        <v>45404.41</v>
      </c>
    </row>
    <row r="72" spans="1:11" s="6" customFormat="1" ht="75.75" customHeight="1">
      <c r="A72" s="97" t="s">
        <v>415</v>
      </c>
      <c r="B72" s="104" t="s">
        <v>765</v>
      </c>
      <c r="C72" s="105" t="s">
        <v>826</v>
      </c>
      <c r="D72" s="85" t="s">
        <v>630</v>
      </c>
      <c r="E72" s="106" t="s">
        <v>35</v>
      </c>
      <c r="F72" s="112">
        <v>287.64</v>
      </c>
      <c r="G72" s="112">
        <v>129.52000000000001</v>
      </c>
      <c r="H72" s="86">
        <f>G72*1.3136</f>
        <v>170.14</v>
      </c>
      <c r="I72" s="86">
        <f>F72*H72</f>
        <v>48939.07</v>
      </c>
      <c r="K72" s="50">
        <f t="shared" si="2"/>
        <v>48939.07</v>
      </c>
    </row>
    <row r="73" spans="1:11" s="6" customFormat="1">
      <c r="A73" s="66" t="s">
        <v>138</v>
      </c>
      <c r="B73" s="321" t="s">
        <v>98</v>
      </c>
      <c r="C73" s="322"/>
      <c r="D73" s="68"/>
      <c r="E73" s="69"/>
      <c r="F73" s="122"/>
      <c r="G73" s="122"/>
      <c r="H73" s="122"/>
      <c r="I73" s="70"/>
      <c r="K73" s="50">
        <f t="shared" si="2"/>
        <v>0</v>
      </c>
    </row>
    <row r="74" spans="1:11" s="6" customFormat="1" ht="60">
      <c r="A74" s="82" t="s">
        <v>416</v>
      </c>
      <c r="B74" s="107" t="s">
        <v>766</v>
      </c>
      <c r="C74" s="108" t="s">
        <v>96</v>
      </c>
      <c r="D74" s="85" t="s">
        <v>630</v>
      </c>
      <c r="E74" s="109" t="s">
        <v>49</v>
      </c>
      <c r="F74" s="110">
        <v>97.58</v>
      </c>
      <c r="G74" s="110">
        <v>129.26</v>
      </c>
      <c r="H74" s="110">
        <f>G74*1.3136</f>
        <v>169.8</v>
      </c>
      <c r="I74" s="110">
        <f>F74*H74</f>
        <v>16569.080000000002</v>
      </c>
      <c r="K74" s="50">
        <f t="shared" si="2"/>
        <v>16569.080000000002</v>
      </c>
    </row>
    <row r="75" spans="1:11" s="6" customFormat="1">
      <c r="A75" s="66" t="s">
        <v>141</v>
      </c>
      <c r="B75" s="311" t="s">
        <v>100</v>
      </c>
      <c r="C75" s="312"/>
      <c r="D75" s="71"/>
      <c r="E75" s="69"/>
      <c r="F75" s="122"/>
      <c r="G75" s="122"/>
      <c r="H75" s="122"/>
      <c r="I75" s="70"/>
      <c r="K75" s="50">
        <f t="shared" si="2"/>
        <v>0</v>
      </c>
    </row>
    <row r="76" spans="1:11" s="6" customFormat="1" ht="45">
      <c r="A76" s="82" t="s">
        <v>417</v>
      </c>
      <c r="B76" s="83" t="s">
        <v>767</v>
      </c>
      <c r="C76" s="99" t="s">
        <v>827</v>
      </c>
      <c r="D76" s="85" t="s">
        <v>630</v>
      </c>
      <c r="E76" s="85" t="s">
        <v>49</v>
      </c>
      <c r="F76" s="86">
        <f>175.6</f>
        <v>175.6</v>
      </c>
      <c r="G76" s="86">
        <v>40.880000000000003</v>
      </c>
      <c r="H76" s="86">
        <f>G76*1.3136</f>
        <v>53.7</v>
      </c>
      <c r="I76" s="86">
        <f>F76*H76</f>
        <v>9429.7199999999993</v>
      </c>
      <c r="K76" s="50">
        <f t="shared" si="2"/>
        <v>9429.7199999999993</v>
      </c>
    </row>
    <row r="77" spans="1:11" s="6" customFormat="1">
      <c r="A77" s="320" t="s">
        <v>42</v>
      </c>
      <c r="B77" s="337"/>
      <c r="C77" s="337"/>
      <c r="D77" s="337"/>
      <c r="E77" s="337"/>
      <c r="F77" s="337"/>
      <c r="G77" s="337"/>
      <c r="H77" s="337"/>
      <c r="I77" s="46">
        <f>SUM(I71:I76)</f>
        <v>120342.28</v>
      </c>
      <c r="K77" s="50">
        <f t="shared" si="2"/>
        <v>0</v>
      </c>
    </row>
    <row r="78" spans="1:11" s="6" customFormat="1">
      <c r="A78" s="297" t="s">
        <v>418</v>
      </c>
      <c r="B78" s="314" t="s">
        <v>135</v>
      </c>
      <c r="C78" s="315"/>
      <c r="D78" s="303"/>
      <c r="E78" s="304"/>
      <c r="F78" s="305"/>
      <c r="G78" s="305"/>
      <c r="H78" s="305"/>
      <c r="I78" s="306"/>
      <c r="K78" s="50">
        <f t="shared" si="2"/>
        <v>0</v>
      </c>
    </row>
    <row r="79" spans="1:11" s="6" customFormat="1">
      <c r="A79" s="66" t="s">
        <v>46</v>
      </c>
      <c r="B79" s="321" t="s">
        <v>167</v>
      </c>
      <c r="C79" s="322"/>
      <c r="D79" s="68"/>
      <c r="E79" s="69"/>
      <c r="F79" s="122"/>
      <c r="G79" s="122"/>
      <c r="H79" s="122"/>
      <c r="I79" s="70"/>
      <c r="K79" s="50">
        <f t="shared" si="2"/>
        <v>0</v>
      </c>
    </row>
    <row r="80" spans="1:11" s="6" customFormat="1" ht="90">
      <c r="A80" s="82" t="s">
        <v>173</v>
      </c>
      <c r="B80" s="83" t="s">
        <v>145</v>
      </c>
      <c r="C80" s="95" t="s">
        <v>768</v>
      </c>
      <c r="D80" s="85" t="s">
        <v>630</v>
      </c>
      <c r="E80" s="85" t="s">
        <v>340</v>
      </c>
      <c r="F80" s="86">
        <v>3</v>
      </c>
      <c r="G80" s="86">
        <v>929.98</v>
      </c>
      <c r="H80" s="86">
        <f>G80*1.3136</f>
        <v>1221.6199999999999</v>
      </c>
      <c r="I80" s="86">
        <f t="shared" ref="I80:I91" si="22">F80*H80</f>
        <v>3664.86</v>
      </c>
      <c r="K80" s="50">
        <f t="shared" si="2"/>
        <v>3664.86</v>
      </c>
    </row>
    <row r="81" spans="1:21" s="6" customFormat="1" ht="86.25" customHeight="1">
      <c r="A81" s="82" t="s">
        <v>174</v>
      </c>
      <c r="B81" s="87" t="s">
        <v>147</v>
      </c>
      <c r="C81" s="96" t="s">
        <v>769</v>
      </c>
      <c r="D81" s="85" t="s">
        <v>630</v>
      </c>
      <c r="E81" s="82" t="s">
        <v>340</v>
      </c>
      <c r="F81" s="91">
        <v>3</v>
      </c>
      <c r="G81" s="91">
        <v>935.74</v>
      </c>
      <c r="H81" s="86">
        <f t="shared" ref="H81:H85" si="23">G81*1.3136</f>
        <v>1229.19</v>
      </c>
      <c r="I81" s="86">
        <f t="shared" si="22"/>
        <v>3687.57</v>
      </c>
      <c r="K81" s="50">
        <f t="shared" si="2"/>
        <v>3687.57</v>
      </c>
    </row>
    <row r="82" spans="1:21" s="6" customFormat="1" ht="83.25" customHeight="1">
      <c r="A82" s="82" t="s">
        <v>175</v>
      </c>
      <c r="B82" s="87" t="s">
        <v>149</v>
      </c>
      <c r="C82" s="96" t="s">
        <v>770</v>
      </c>
      <c r="D82" s="85" t="s">
        <v>630</v>
      </c>
      <c r="E82" s="82" t="s">
        <v>340</v>
      </c>
      <c r="F82" s="91">
        <v>1</v>
      </c>
      <c r="G82" s="91">
        <v>924.22</v>
      </c>
      <c r="H82" s="86">
        <f t="shared" si="23"/>
        <v>1214.06</v>
      </c>
      <c r="I82" s="86">
        <f t="shared" si="22"/>
        <v>1214.06</v>
      </c>
      <c r="K82" s="50">
        <f t="shared" si="2"/>
        <v>1214.06</v>
      </c>
    </row>
    <row r="83" spans="1:21" s="6" customFormat="1" ht="30">
      <c r="A83" s="82" t="s">
        <v>327</v>
      </c>
      <c r="B83" s="87" t="s">
        <v>151</v>
      </c>
      <c r="C83" s="96" t="s">
        <v>152</v>
      </c>
      <c r="D83" s="85" t="s">
        <v>630</v>
      </c>
      <c r="E83" s="82" t="s">
        <v>340</v>
      </c>
      <c r="F83" s="91">
        <v>1</v>
      </c>
      <c r="G83" s="91">
        <v>379.03</v>
      </c>
      <c r="H83" s="86">
        <f t="shared" si="23"/>
        <v>497.89</v>
      </c>
      <c r="I83" s="86">
        <f t="shared" si="22"/>
        <v>497.89</v>
      </c>
      <c r="K83" s="50">
        <f t="shared" si="2"/>
        <v>497.89</v>
      </c>
    </row>
    <row r="84" spans="1:21" s="6" customFormat="1" ht="30">
      <c r="A84" s="82" t="s">
        <v>419</v>
      </c>
      <c r="B84" s="87" t="s">
        <v>153</v>
      </c>
      <c r="C84" s="96" t="s">
        <v>154</v>
      </c>
      <c r="D84" s="85" t="s">
        <v>630</v>
      </c>
      <c r="E84" s="82" t="s">
        <v>340</v>
      </c>
      <c r="F84" s="91">
        <v>3</v>
      </c>
      <c r="G84" s="91">
        <v>379.03</v>
      </c>
      <c r="H84" s="86">
        <f t="shared" si="23"/>
        <v>497.89</v>
      </c>
      <c r="I84" s="86">
        <f t="shared" si="22"/>
        <v>1493.67</v>
      </c>
      <c r="K84" s="50">
        <f t="shared" si="2"/>
        <v>1493.67</v>
      </c>
    </row>
    <row r="85" spans="1:21" s="6" customFormat="1" ht="30">
      <c r="A85" s="82" t="s">
        <v>420</v>
      </c>
      <c r="B85" s="104" t="s">
        <v>155</v>
      </c>
      <c r="C85" s="111" t="s">
        <v>156</v>
      </c>
      <c r="D85" s="85" t="s">
        <v>630</v>
      </c>
      <c r="E85" s="106" t="s">
        <v>340</v>
      </c>
      <c r="F85" s="112">
        <v>3</v>
      </c>
      <c r="G85" s="112">
        <v>379.03</v>
      </c>
      <c r="H85" s="86">
        <f t="shared" si="23"/>
        <v>497.89</v>
      </c>
      <c r="I85" s="86">
        <f t="shared" si="22"/>
        <v>1493.67</v>
      </c>
      <c r="K85" s="50">
        <f t="shared" si="2"/>
        <v>1493.67</v>
      </c>
    </row>
    <row r="86" spans="1:21" s="6" customFormat="1">
      <c r="A86" s="66" t="s">
        <v>47</v>
      </c>
      <c r="B86" s="311" t="s">
        <v>168</v>
      </c>
      <c r="C86" s="312"/>
      <c r="D86" s="77"/>
      <c r="E86" s="69"/>
      <c r="F86" s="122"/>
      <c r="G86" s="122"/>
      <c r="H86" s="122"/>
      <c r="I86" s="73"/>
      <c r="K86" s="50">
        <f t="shared" si="2"/>
        <v>0</v>
      </c>
    </row>
    <row r="87" spans="1:21" s="6" customFormat="1" ht="45">
      <c r="A87" s="82" t="s">
        <v>176</v>
      </c>
      <c r="B87" s="83" t="s">
        <v>136</v>
      </c>
      <c r="C87" s="95" t="s">
        <v>137</v>
      </c>
      <c r="D87" s="85" t="s">
        <v>630</v>
      </c>
      <c r="E87" s="85" t="s">
        <v>35</v>
      </c>
      <c r="F87" s="86">
        <v>46.4</v>
      </c>
      <c r="G87" s="86">
        <v>530.05999999999995</v>
      </c>
      <c r="H87" s="86">
        <f>G87*1.3136</f>
        <v>696.29</v>
      </c>
      <c r="I87" s="86">
        <f t="shared" si="22"/>
        <v>32307.86</v>
      </c>
      <c r="K87" s="50">
        <f t="shared" si="2"/>
        <v>32307.86</v>
      </c>
    </row>
    <row r="88" spans="1:21" s="6" customFormat="1" ht="30">
      <c r="A88" s="82" t="s">
        <v>421</v>
      </c>
      <c r="B88" s="87" t="s">
        <v>139</v>
      </c>
      <c r="C88" s="96" t="s">
        <v>140</v>
      </c>
      <c r="D88" s="85" t="s">
        <v>630</v>
      </c>
      <c r="E88" s="82" t="s">
        <v>35</v>
      </c>
      <c r="F88" s="91">
        <v>0.42</v>
      </c>
      <c r="G88" s="91">
        <v>758.83</v>
      </c>
      <c r="H88" s="86">
        <f t="shared" ref="H88:H91" si="24">G88*1.3136</f>
        <v>996.8</v>
      </c>
      <c r="I88" s="86">
        <f t="shared" si="22"/>
        <v>418.66</v>
      </c>
      <c r="K88" s="50">
        <f t="shared" si="2"/>
        <v>418.66</v>
      </c>
    </row>
    <row r="89" spans="1:21" s="6" customFormat="1" ht="45">
      <c r="A89" s="82" t="s">
        <v>422</v>
      </c>
      <c r="B89" s="87" t="s">
        <v>142</v>
      </c>
      <c r="C89" s="96" t="s">
        <v>143</v>
      </c>
      <c r="D89" s="85" t="s">
        <v>630</v>
      </c>
      <c r="E89" s="82" t="s">
        <v>35</v>
      </c>
      <c r="F89" s="91">
        <v>9.2799999999999994</v>
      </c>
      <c r="G89" s="91">
        <v>404.78</v>
      </c>
      <c r="H89" s="86">
        <f t="shared" si="24"/>
        <v>531.72</v>
      </c>
      <c r="I89" s="86">
        <f>F89*H89</f>
        <v>4934.3599999999997</v>
      </c>
      <c r="K89" s="50">
        <f t="shared" si="2"/>
        <v>4934.3599999999997</v>
      </c>
    </row>
    <row r="90" spans="1:21" s="6" customFormat="1">
      <c r="A90" s="82" t="s">
        <v>423</v>
      </c>
      <c r="B90" s="87" t="s">
        <v>402</v>
      </c>
      <c r="C90" s="119" t="s">
        <v>539</v>
      </c>
      <c r="D90" s="82"/>
      <c r="E90" s="82" t="s">
        <v>35</v>
      </c>
      <c r="F90" s="91">
        <v>192.76</v>
      </c>
      <c r="G90" s="91">
        <f>1362.64*1.8145</f>
        <v>2472.5100000000002</v>
      </c>
      <c r="H90" s="86">
        <f t="shared" si="24"/>
        <v>3247.89</v>
      </c>
      <c r="I90" s="86">
        <f t="shared" si="22"/>
        <v>626063.28</v>
      </c>
      <c r="J90" s="126"/>
      <c r="K90" s="127">
        <f t="shared" si="2"/>
        <v>626063.28</v>
      </c>
      <c r="L90" s="126"/>
      <c r="M90" s="126"/>
      <c r="N90" s="126"/>
      <c r="O90" s="126"/>
      <c r="P90" s="126"/>
      <c r="Q90" s="126"/>
      <c r="R90" s="126"/>
      <c r="S90" s="126"/>
      <c r="T90" s="126"/>
      <c r="U90" s="48"/>
    </row>
    <row r="91" spans="1:21" s="6" customFormat="1" ht="30">
      <c r="A91" s="82" t="s">
        <v>424</v>
      </c>
      <c r="B91" s="87" t="s">
        <v>144</v>
      </c>
      <c r="C91" s="96" t="s">
        <v>50</v>
      </c>
      <c r="D91" s="85" t="s">
        <v>630</v>
      </c>
      <c r="E91" s="82" t="s">
        <v>35</v>
      </c>
      <c r="F91" s="91">
        <v>22.92</v>
      </c>
      <c r="G91" s="91">
        <v>896.54</v>
      </c>
      <c r="H91" s="86">
        <f t="shared" si="24"/>
        <v>1177.69</v>
      </c>
      <c r="I91" s="86">
        <f t="shared" si="22"/>
        <v>26992.65</v>
      </c>
      <c r="K91" s="50">
        <f t="shared" ref="K91:K154" si="25">H91*F91</f>
        <v>26992.65</v>
      </c>
    </row>
    <row r="92" spans="1:21" s="6" customFormat="1">
      <c r="A92" s="320" t="s">
        <v>177</v>
      </c>
      <c r="B92" s="337"/>
      <c r="C92" s="337"/>
      <c r="D92" s="337"/>
      <c r="E92" s="337"/>
      <c r="F92" s="337"/>
      <c r="G92" s="337"/>
      <c r="H92" s="337"/>
      <c r="I92" s="46">
        <f>SUM(I80:I91)</f>
        <v>702768.53</v>
      </c>
      <c r="K92" s="50">
        <f t="shared" si="25"/>
        <v>0</v>
      </c>
    </row>
    <row r="93" spans="1:21" s="6" customFormat="1">
      <c r="A93" s="297" t="s">
        <v>425</v>
      </c>
      <c r="B93" s="338" t="s">
        <v>169</v>
      </c>
      <c r="C93" s="339"/>
      <c r="D93" s="299"/>
      <c r="E93" s="300"/>
      <c r="F93" s="301"/>
      <c r="G93" s="301"/>
      <c r="H93" s="301"/>
      <c r="I93" s="302"/>
      <c r="K93" s="50">
        <f t="shared" si="25"/>
        <v>0</v>
      </c>
    </row>
    <row r="94" spans="1:21" s="6" customFormat="1">
      <c r="A94" s="82" t="s">
        <v>329</v>
      </c>
      <c r="B94" s="83" t="s">
        <v>157</v>
      </c>
      <c r="C94" s="99" t="s">
        <v>158</v>
      </c>
      <c r="D94" s="85" t="s">
        <v>630</v>
      </c>
      <c r="E94" s="85" t="s">
        <v>35</v>
      </c>
      <c r="F94" s="86">
        <v>46.98</v>
      </c>
      <c r="G94" s="187">
        <v>259.44</v>
      </c>
      <c r="H94" s="187">
        <f>G94*1.3136</f>
        <v>340.8</v>
      </c>
      <c r="I94" s="86">
        <f t="shared" ref="I94:I98" si="26">F94*H94</f>
        <v>16010.78</v>
      </c>
      <c r="K94" s="50">
        <f t="shared" si="25"/>
        <v>16010.78</v>
      </c>
    </row>
    <row r="95" spans="1:21" s="6" customFormat="1">
      <c r="A95" s="82" t="s">
        <v>332</v>
      </c>
      <c r="B95" s="87" t="s">
        <v>159</v>
      </c>
      <c r="C95" s="90" t="s">
        <v>160</v>
      </c>
      <c r="D95" s="85" t="s">
        <v>630</v>
      </c>
      <c r="E95" s="82" t="s">
        <v>35</v>
      </c>
      <c r="F95" s="91">
        <v>0.42</v>
      </c>
      <c r="G95" s="193">
        <v>325.42</v>
      </c>
      <c r="H95" s="187">
        <f t="shared" ref="H95:H98" si="27">G95*1.3136</f>
        <v>427.47</v>
      </c>
      <c r="I95" s="86">
        <f t="shared" si="26"/>
        <v>179.54</v>
      </c>
      <c r="K95" s="50">
        <f t="shared" si="25"/>
        <v>179.54</v>
      </c>
    </row>
    <row r="96" spans="1:21" s="6" customFormat="1" ht="30">
      <c r="A96" s="82" t="s">
        <v>375</v>
      </c>
      <c r="B96" s="87" t="s">
        <v>637</v>
      </c>
      <c r="C96" s="113" t="s">
        <v>828</v>
      </c>
      <c r="D96" s="82" t="s">
        <v>72</v>
      </c>
      <c r="E96" s="82" t="s">
        <v>35</v>
      </c>
      <c r="F96" s="91">
        <v>25.62</v>
      </c>
      <c r="G96" s="91">
        <v>430.1</v>
      </c>
      <c r="H96" s="187">
        <f t="shared" si="27"/>
        <v>564.98</v>
      </c>
      <c r="I96" s="86">
        <f t="shared" si="26"/>
        <v>14474.79</v>
      </c>
      <c r="K96" s="50">
        <f t="shared" si="25"/>
        <v>14474.79</v>
      </c>
    </row>
    <row r="97" spans="1:11" s="6" customFormat="1" ht="30">
      <c r="A97" s="82" t="s">
        <v>533</v>
      </c>
      <c r="B97" s="87" t="s">
        <v>638</v>
      </c>
      <c r="C97" s="113" t="s">
        <v>640</v>
      </c>
      <c r="D97" s="82" t="s">
        <v>72</v>
      </c>
      <c r="E97" s="82" t="s">
        <v>35</v>
      </c>
      <c r="F97" s="91">
        <v>2.94</v>
      </c>
      <c r="G97" s="91">
        <v>505.66</v>
      </c>
      <c r="H97" s="187">
        <f t="shared" si="27"/>
        <v>664.23</v>
      </c>
      <c r="I97" s="86">
        <f t="shared" si="26"/>
        <v>1952.84</v>
      </c>
      <c r="K97" s="50">
        <f t="shared" si="25"/>
        <v>1952.84</v>
      </c>
    </row>
    <row r="98" spans="1:11" s="6" customFormat="1" ht="30">
      <c r="A98" s="82" t="s">
        <v>535</v>
      </c>
      <c r="B98" s="87" t="s">
        <v>639</v>
      </c>
      <c r="C98" s="113" t="s">
        <v>641</v>
      </c>
      <c r="D98" s="82" t="s">
        <v>72</v>
      </c>
      <c r="E98" s="82" t="s">
        <v>35</v>
      </c>
      <c r="F98" s="91">
        <v>15.92</v>
      </c>
      <c r="G98" s="91">
        <v>606.33000000000004</v>
      </c>
      <c r="H98" s="187">
        <f t="shared" si="27"/>
        <v>796.48</v>
      </c>
      <c r="I98" s="86">
        <f t="shared" si="26"/>
        <v>12679.96</v>
      </c>
      <c r="K98" s="50">
        <f t="shared" si="25"/>
        <v>12679.96</v>
      </c>
    </row>
    <row r="99" spans="1:11" s="6" customFormat="1">
      <c r="A99" s="320" t="s">
        <v>335</v>
      </c>
      <c r="B99" s="337"/>
      <c r="C99" s="337"/>
      <c r="D99" s="337"/>
      <c r="E99" s="337"/>
      <c r="F99" s="337"/>
      <c r="G99" s="337"/>
      <c r="H99" s="337"/>
      <c r="I99" s="46">
        <f>SUM(I94:I98)</f>
        <v>45297.91</v>
      </c>
      <c r="K99" s="50">
        <f t="shared" si="25"/>
        <v>0</v>
      </c>
    </row>
    <row r="100" spans="1:11" s="6" customFormat="1">
      <c r="A100" s="308">
        <v>11</v>
      </c>
      <c r="B100" s="314" t="s">
        <v>106</v>
      </c>
      <c r="C100" s="315"/>
      <c r="D100" s="315"/>
      <c r="E100" s="315"/>
      <c r="F100" s="315"/>
      <c r="G100" s="315"/>
      <c r="H100" s="315"/>
      <c r="I100" s="306"/>
      <c r="K100" s="50">
        <f t="shared" si="25"/>
        <v>0</v>
      </c>
    </row>
    <row r="101" spans="1:11" s="6" customFormat="1">
      <c r="A101" s="67" t="s">
        <v>426</v>
      </c>
      <c r="B101" s="311" t="s">
        <v>107</v>
      </c>
      <c r="C101" s="312"/>
      <c r="D101" s="312"/>
      <c r="E101" s="312"/>
      <c r="F101" s="312"/>
      <c r="G101" s="312"/>
      <c r="H101" s="312"/>
      <c r="I101" s="73"/>
      <c r="K101" s="50">
        <f t="shared" si="25"/>
        <v>0</v>
      </c>
    </row>
    <row r="102" spans="1:11" s="6" customFormat="1" ht="30">
      <c r="A102" s="82" t="s">
        <v>427</v>
      </c>
      <c r="B102" s="85">
        <v>120101</v>
      </c>
      <c r="C102" s="99" t="s">
        <v>108</v>
      </c>
      <c r="D102" s="85" t="s">
        <v>630</v>
      </c>
      <c r="E102" s="85" t="s">
        <v>35</v>
      </c>
      <c r="F102" s="86">
        <v>1494.36</v>
      </c>
      <c r="G102" s="86">
        <v>7.34</v>
      </c>
      <c r="H102" s="86">
        <f>G102*1.3136</f>
        <v>9.64</v>
      </c>
      <c r="I102" s="86">
        <f>F102*H102</f>
        <v>14405.63</v>
      </c>
      <c r="K102" s="50">
        <f t="shared" si="25"/>
        <v>14405.63</v>
      </c>
    </row>
    <row r="103" spans="1:11" s="6" customFormat="1" ht="30">
      <c r="A103" s="82" t="s">
        <v>428</v>
      </c>
      <c r="B103" s="82">
        <v>120303</v>
      </c>
      <c r="C103" s="90" t="s">
        <v>771</v>
      </c>
      <c r="D103" s="85" t="s">
        <v>630</v>
      </c>
      <c r="E103" s="82" t="s">
        <v>35</v>
      </c>
      <c r="F103" s="91">
        <v>1494.36</v>
      </c>
      <c r="G103" s="91">
        <v>60.67</v>
      </c>
      <c r="H103" s="86">
        <f t="shared" ref="H103:H105" si="28">G103*1.3136</f>
        <v>79.7</v>
      </c>
      <c r="I103" s="86">
        <f t="shared" ref="I103:I105" si="29">F103*H103</f>
        <v>119100.49</v>
      </c>
      <c r="K103" s="50">
        <f t="shared" si="25"/>
        <v>119100.49</v>
      </c>
    </row>
    <row r="104" spans="1:11" s="6" customFormat="1" ht="30">
      <c r="A104" s="82" t="s">
        <v>429</v>
      </c>
      <c r="B104" s="82">
        <v>110301</v>
      </c>
      <c r="C104" s="90" t="s">
        <v>170</v>
      </c>
      <c r="D104" s="85" t="s">
        <v>630</v>
      </c>
      <c r="E104" s="82" t="s">
        <v>35</v>
      </c>
      <c r="F104" s="91">
        <v>1355.9</v>
      </c>
      <c r="G104" s="91">
        <v>35.56</v>
      </c>
      <c r="H104" s="86">
        <f t="shared" si="28"/>
        <v>46.71</v>
      </c>
      <c r="I104" s="86">
        <f t="shared" si="29"/>
        <v>63334.09</v>
      </c>
      <c r="K104" s="50">
        <f t="shared" si="25"/>
        <v>63334.09</v>
      </c>
    </row>
    <row r="105" spans="1:11" s="6" customFormat="1">
      <c r="A105" s="82" t="s">
        <v>430</v>
      </c>
      <c r="B105" s="106">
        <v>110201</v>
      </c>
      <c r="C105" s="114" t="s">
        <v>328</v>
      </c>
      <c r="D105" s="85" t="s">
        <v>630</v>
      </c>
      <c r="E105" s="106" t="s">
        <v>35</v>
      </c>
      <c r="F105" s="112">
        <v>691.81</v>
      </c>
      <c r="G105" s="112">
        <v>60.1</v>
      </c>
      <c r="H105" s="86">
        <f t="shared" si="28"/>
        <v>78.95</v>
      </c>
      <c r="I105" s="86">
        <f t="shared" si="29"/>
        <v>54618.400000000001</v>
      </c>
      <c r="K105" s="50">
        <f t="shared" si="25"/>
        <v>54618.400000000001</v>
      </c>
    </row>
    <row r="106" spans="1:11" s="6" customFormat="1">
      <c r="A106" s="67" t="s">
        <v>431</v>
      </c>
      <c r="B106" s="311" t="s">
        <v>171</v>
      </c>
      <c r="C106" s="312"/>
      <c r="D106" s="312"/>
      <c r="E106" s="312"/>
      <c r="F106" s="312"/>
      <c r="G106" s="312"/>
      <c r="H106" s="312"/>
      <c r="I106" s="73"/>
      <c r="K106" s="50">
        <f t="shared" si="25"/>
        <v>0</v>
      </c>
    </row>
    <row r="107" spans="1:11" s="6" customFormat="1" ht="45">
      <c r="A107" s="82" t="s">
        <v>432</v>
      </c>
      <c r="B107" s="85">
        <v>120201</v>
      </c>
      <c r="C107" s="99" t="s">
        <v>172</v>
      </c>
      <c r="D107" s="85" t="s">
        <v>630</v>
      </c>
      <c r="E107" s="85" t="s">
        <v>35</v>
      </c>
      <c r="F107" s="86">
        <v>138.46</v>
      </c>
      <c r="G107" s="86">
        <v>91.05</v>
      </c>
      <c r="H107" s="86">
        <f>G107*1.3136</f>
        <v>119.6</v>
      </c>
      <c r="I107" s="86">
        <f>F107*H107</f>
        <v>16559.82</v>
      </c>
      <c r="K107" s="50">
        <f t="shared" si="25"/>
        <v>16559.82</v>
      </c>
    </row>
    <row r="108" spans="1:11" s="6" customFormat="1">
      <c r="A108" s="320" t="s">
        <v>541</v>
      </c>
      <c r="B108" s="337"/>
      <c r="C108" s="337"/>
      <c r="D108" s="337"/>
      <c r="E108" s="337"/>
      <c r="F108" s="337"/>
      <c r="G108" s="337"/>
      <c r="H108" s="337"/>
      <c r="I108" s="46">
        <f>SUM(I102:I107)</f>
        <v>268018.43</v>
      </c>
      <c r="K108" s="50">
        <f t="shared" si="25"/>
        <v>0</v>
      </c>
    </row>
    <row r="109" spans="1:11" s="6" customFormat="1">
      <c r="A109" s="308">
        <v>12</v>
      </c>
      <c r="B109" s="316" t="s">
        <v>178</v>
      </c>
      <c r="C109" s="317"/>
      <c r="D109" s="317"/>
      <c r="E109" s="317"/>
      <c r="F109" s="317"/>
      <c r="G109" s="317"/>
      <c r="H109" s="317"/>
      <c r="I109" s="302"/>
      <c r="K109" s="50">
        <f t="shared" si="25"/>
        <v>0</v>
      </c>
    </row>
    <row r="110" spans="1:11" s="6" customFormat="1">
      <c r="A110" s="67" t="s">
        <v>222</v>
      </c>
      <c r="B110" s="349" t="s">
        <v>330</v>
      </c>
      <c r="C110" s="350"/>
      <c r="D110" s="74"/>
      <c r="E110" s="69"/>
      <c r="F110" s="122"/>
      <c r="G110" s="122"/>
      <c r="H110" s="122"/>
      <c r="I110" s="70"/>
      <c r="K110" s="50">
        <f t="shared" si="25"/>
        <v>0</v>
      </c>
    </row>
    <row r="111" spans="1:11" s="6" customFormat="1">
      <c r="A111" s="82" t="s">
        <v>226</v>
      </c>
      <c r="B111" s="109">
        <v>130112</v>
      </c>
      <c r="C111" s="115" t="s">
        <v>331</v>
      </c>
      <c r="D111" s="85" t="s">
        <v>630</v>
      </c>
      <c r="E111" s="109" t="s">
        <v>35</v>
      </c>
      <c r="F111" s="110">
        <v>691.81</v>
      </c>
      <c r="G111" s="110">
        <v>53.05</v>
      </c>
      <c r="H111" s="110">
        <f>G111*1.3136</f>
        <v>69.69</v>
      </c>
      <c r="I111" s="110">
        <f>F111*H111</f>
        <v>48212.24</v>
      </c>
      <c r="K111" s="50">
        <f t="shared" si="25"/>
        <v>48212.24</v>
      </c>
    </row>
    <row r="112" spans="1:11" s="6" customFormat="1">
      <c r="A112" s="67" t="s">
        <v>227</v>
      </c>
      <c r="B112" s="311" t="s">
        <v>171</v>
      </c>
      <c r="C112" s="312"/>
      <c r="D112" s="71"/>
      <c r="E112" s="69"/>
      <c r="F112" s="122"/>
      <c r="G112" s="122"/>
      <c r="H112" s="122"/>
      <c r="I112" s="70"/>
      <c r="K112" s="50">
        <f t="shared" si="25"/>
        <v>0</v>
      </c>
    </row>
    <row r="113" spans="1:11" s="6" customFormat="1" ht="60">
      <c r="A113" s="82" t="s">
        <v>228</v>
      </c>
      <c r="B113" s="85">
        <v>130231</v>
      </c>
      <c r="C113" s="99" t="s">
        <v>333</v>
      </c>
      <c r="D113" s="85" t="s">
        <v>630</v>
      </c>
      <c r="E113" s="85" t="s">
        <v>35</v>
      </c>
      <c r="F113" s="86">
        <v>533.91999999999996</v>
      </c>
      <c r="G113" s="86">
        <v>152.5</v>
      </c>
      <c r="H113" s="86">
        <f>G113*1.3136</f>
        <v>200.32</v>
      </c>
      <c r="I113" s="86">
        <f>F113*H113</f>
        <v>106954.85</v>
      </c>
      <c r="K113" s="50">
        <f t="shared" si="25"/>
        <v>106954.85</v>
      </c>
    </row>
    <row r="114" spans="1:11" s="6" customFormat="1" ht="60">
      <c r="A114" s="82" t="s">
        <v>229</v>
      </c>
      <c r="B114" s="82">
        <v>130230</v>
      </c>
      <c r="C114" s="90" t="s">
        <v>334</v>
      </c>
      <c r="D114" s="85" t="s">
        <v>630</v>
      </c>
      <c r="E114" s="82" t="s">
        <v>35</v>
      </c>
      <c r="F114" s="91">
        <v>157.88999999999999</v>
      </c>
      <c r="G114" s="91">
        <v>138.12</v>
      </c>
      <c r="H114" s="86">
        <f>G114*1.3136</f>
        <v>181.43</v>
      </c>
      <c r="I114" s="91">
        <f>F114*H114</f>
        <v>28645.98</v>
      </c>
      <c r="K114" s="50">
        <f t="shared" si="25"/>
        <v>28645.98</v>
      </c>
    </row>
    <row r="115" spans="1:11" s="6" customFormat="1">
      <c r="A115" s="20" t="s">
        <v>230</v>
      </c>
      <c r="B115" s="311" t="s">
        <v>336</v>
      </c>
      <c r="C115" s="312"/>
      <c r="D115" s="312"/>
      <c r="E115" s="312"/>
      <c r="F115" s="312"/>
      <c r="G115" s="312"/>
      <c r="H115" s="312"/>
      <c r="I115" s="313"/>
      <c r="K115" s="50">
        <f t="shared" si="25"/>
        <v>0</v>
      </c>
    </row>
    <row r="116" spans="1:11" s="6" customFormat="1" ht="60">
      <c r="A116" s="82" t="s">
        <v>231</v>
      </c>
      <c r="B116" s="82">
        <v>130322</v>
      </c>
      <c r="C116" s="90" t="s">
        <v>337</v>
      </c>
      <c r="D116" s="85" t="s">
        <v>630</v>
      </c>
      <c r="E116" s="82" t="s">
        <v>49</v>
      </c>
      <c r="F116" s="91">
        <v>402.72</v>
      </c>
      <c r="G116" s="91">
        <v>30.18</v>
      </c>
      <c r="H116" s="91">
        <f>G116*1.3136</f>
        <v>39.64</v>
      </c>
      <c r="I116" s="91">
        <f>F116*H116</f>
        <v>15963.82</v>
      </c>
      <c r="K116" s="50">
        <f t="shared" si="25"/>
        <v>15963.82</v>
      </c>
    </row>
    <row r="117" spans="1:11" s="6" customFormat="1">
      <c r="A117" s="320" t="s">
        <v>232</v>
      </c>
      <c r="B117" s="320"/>
      <c r="C117" s="320"/>
      <c r="D117" s="320"/>
      <c r="E117" s="320"/>
      <c r="F117" s="320"/>
      <c r="G117" s="320"/>
      <c r="H117" s="320"/>
      <c r="I117" s="36">
        <f>SUM(I110:I116)</f>
        <v>199776.89</v>
      </c>
      <c r="K117" s="50">
        <f t="shared" si="25"/>
        <v>0</v>
      </c>
    </row>
    <row r="118" spans="1:11" s="6" customFormat="1">
      <c r="A118" s="309" t="s">
        <v>233</v>
      </c>
      <c r="B118" s="314" t="s">
        <v>179</v>
      </c>
      <c r="C118" s="315"/>
      <c r="D118" s="315"/>
      <c r="E118" s="315"/>
      <c r="F118" s="315"/>
      <c r="G118" s="315"/>
      <c r="H118" s="315"/>
      <c r="I118" s="318"/>
      <c r="K118" s="50">
        <f t="shared" si="25"/>
        <v>0</v>
      </c>
    </row>
    <row r="119" spans="1:11" s="6" customFormat="1">
      <c r="A119" s="67" t="s">
        <v>235</v>
      </c>
      <c r="B119" s="311" t="s">
        <v>180</v>
      </c>
      <c r="C119" s="312"/>
      <c r="D119" s="71"/>
      <c r="E119" s="69"/>
      <c r="F119" s="122"/>
      <c r="G119" s="122"/>
      <c r="H119" s="122"/>
      <c r="I119" s="70"/>
      <c r="K119" s="50">
        <f t="shared" si="25"/>
        <v>0</v>
      </c>
    </row>
    <row r="120" spans="1:11" s="6" customFormat="1" ht="60">
      <c r="A120" s="82" t="s">
        <v>376</v>
      </c>
      <c r="B120" s="83" t="s">
        <v>181</v>
      </c>
      <c r="C120" s="99" t="s">
        <v>182</v>
      </c>
      <c r="D120" s="85" t="s">
        <v>630</v>
      </c>
      <c r="E120" s="85" t="s">
        <v>340</v>
      </c>
      <c r="F120" s="86">
        <v>1</v>
      </c>
      <c r="G120" s="86">
        <v>432.64</v>
      </c>
      <c r="H120" s="86">
        <f>G120*1.3136</f>
        <v>568.32000000000005</v>
      </c>
      <c r="I120" s="86">
        <f t="shared" ref="I120:I131" si="30">F120*H120</f>
        <v>568.32000000000005</v>
      </c>
      <c r="K120" s="50">
        <f t="shared" si="25"/>
        <v>568.32000000000005</v>
      </c>
    </row>
    <row r="121" spans="1:11" s="6" customFormat="1">
      <c r="A121" s="82" t="s">
        <v>377</v>
      </c>
      <c r="B121" s="87" t="s">
        <v>183</v>
      </c>
      <c r="C121" s="90" t="s">
        <v>184</v>
      </c>
      <c r="D121" s="85" t="s">
        <v>630</v>
      </c>
      <c r="E121" s="82" t="s">
        <v>185</v>
      </c>
      <c r="F121" s="91">
        <v>5</v>
      </c>
      <c r="G121" s="91">
        <v>429.89</v>
      </c>
      <c r="H121" s="86">
        <f t="shared" ref="H121:H131" si="31">G121*1.3136</f>
        <v>564.70000000000005</v>
      </c>
      <c r="I121" s="86">
        <f t="shared" si="30"/>
        <v>2823.5</v>
      </c>
      <c r="K121" s="50">
        <f t="shared" si="25"/>
        <v>2823.5</v>
      </c>
    </row>
    <row r="122" spans="1:11" s="6" customFormat="1">
      <c r="A122" s="82" t="s">
        <v>378</v>
      </c>
      <c r="B122" s="82">
        <v>141410</v>
      </c>
      <c r="C122" s="88" t="s">
        <v>186</v>
      </c>
      <c r="D122" s="85" t="s">
        <v>630</v>
      </c>
      <c r="E122" s="82" t="s">
        <v>49</v>
      </c>
      <c r="F122" s="91">
        <v>215.03</v>
      </c>
      <c r="G122" s="91">
        <v>23.52</v>
      </c>
      <c r="H122" s="86">
        <f t="shared" si="31"/>
        <v>30.9</v>
      </c>
      <c r="I122" s="86">
        <f t="shared" si="30"/>
        <v>6644.43</v>
      </c>
      <c r="K122" s="50">
        <f t="shared" si="25"/>
        <v>6644.43</v>
      </c>
    </row>
    <row r="123" spans="1:11" s="6" customFormat="1">
      <c r="A123" s="82" t="s">
        <v>379</v>
      </c>
      <c r="B123" s="116">
        <v>141413</v>
      </c>
      <c r="C123" s="88" t="s">
        <v>187</v>
      </c>
      <c r="D123" s="85" t="s">
        <v>630</v>
      </c>
      <c r="E123" s="82" t="s">
        <v>49</v>
      </c>
      <c r="F123" s="91">
        <v>53.35</v>
      </c>
      <c r="G123" s="91">
        <v>47.79</v>
      </c>
      <c r="H123" s="86">
        <f t="shared" si="31"/>
        <v>62.78</v>
      </c>
      <c r="I123" s="86">
        <f t="shared" si="30"/>
        <v>3349.31</v>
      </c>
      <c r="K123" s="50">
        <f t="shared" si="25"/>
        <v>3349.31</v>
      </c>
    </row>
    <row r="124" spans="1:11" s="6" customFormat="1">
      <c r="A124" s="82" t="s">
        <v>380</v>
      </c>
      <c r="B124" s="82">
        <v>140701</v>
      </c>
      <c r="C124" s="88" t="s">
        <v>188</v>
      </c>
      <c r="D124" s="85" t="s">
        <v>630</v>
      </c>
      <c r="E124" s="82" t="s">
        <v>185</v>
      </c>
      <c r="F124" s="91">
        <v>36</v>
      </c>
      <c r="G124" s="91">
        <v>110.75</v>
      </c>
      <c r="H124" s="86">
        <f t="shared" si="31"/>
        <v>145.47999999999999</v>
      </c>
      <c r="I124" s="86">
        <f t="shared" si="30"/>
        <v>5237.28</v>
      </c>
      <c r="K124" s="50">
        <f t="shared" si="25"/>
        <v>5237.28</v>
      </c>
    </row>
    <row r="125" spans="1:11" s="6" customFormat="1">
      <c r="A125" s="82" t="s">
        <v>381</v>
      </c>
      <c r="B125" s="82">
        <v>142104</v>
      </c>
      <c r="C125" s="88" t="s">
        <v>193</v>
      </c>
      <c r="D125" s="85" t="s">
        <v>630</v>
      </c>
      <c r="E125" s="82" t="s">
        <v>340</v>
      </c>
      <c r="F125" s="91">
        <v>1</v>
      </c>
      <c r="G125" s="91">
        <v>28.98</v>
      </c>
      <c r="H125" s="86">
        <f t="shared" si="31"/>
        <v>38.07</v>
      </c>
      <c r="I125" s="86">
        <f t="shared" si="30"/>
        <v>38.07</v>
      </c>
      <c r="K125" s="50">
        <f t="shared" si="25"/>
        <v>38.07</v>
      </c>
    </row>
    <row r="126" spans="1:11" s="6" customFormat="1" ht="30">
      <c r="A126" s="82" t="s">
        <v>382</v>
      </c>
      <c r="B126" s="82">
        <v>170324</v>
      </c>
      <c r="C126" s="90" t="s">
        <v>772</v>
      </c>
      <c r="D126" s="85" t="s">
        <v>630</v>
      </c>
      <c r="E126" s="82" t="s">
        <v>340</v>
      </c>
      <c r="F126" s="91">
        <v>1</v>
      </c>
      <c r="G126" s="91">
        <v>245.35</v>
      </c>
      <c r="H126" s="86">
        <f t="shared" si="31"/>
        <v>322.29000000000002</v>
      </c>
      <c r="I126" s="86">
        <f t="shared" si="30"/>
        <v>322.29000000000002</v>
      </c>
      <c r="K126" s="50">
        <f t="shared" si="25"/>
        <v>322.29000000000002</v>
      </c>
    </row>
    <row r="127" spans="1:11" s="6" customFormat="1" ht="30">
      <c r="A127" s="82" t="s">
        <v>383</v>
      </c>
      <c r="B127" s="82">
        <v>170321</v>
      </c>
      <c r="C127" s="90" t="s">
        <v>773</v>
      </c>
      <c r="D127" s="85" t="s">
        <v>630</v>
      </c>
      <c r="E127" s="82" t="s">
        <v>340</v>
      </c>
      <c r="F127" s="91">
        <v>10</v>
      </c>
      <c r="G127" s="91">
        <v>85.08</v>
      </c>
      <c r="H127" s="86">
        <f t="shared" si="31"/>
        <v>111.76</v>
      </c>
      <c r="I127" s="86">
        <f t="shared" si="30"/>
        <v>1117.5999999999999</v>
      </c>
      <c r="K127" s="50">
        <f t="shared" si="25"/>
        <v>1117.5999999999999</v>
      </c>
    </row>
    <row r="128" spans="1:11" s="6" customFormat="1" ht="30">
      <c r="A128" s="82" t="s">
        <v>384</v>
      </c>
      <c r="B128" s="82">
        <v>95675</v>
      </c>
      <c r="C128" s="90" t="s">
        <v>774</v>
      </c>
      <c r="D128" s="82" t="s">
        <v>72</v>
      </c>
      <c r="E128" s="82" t="s">
        <v>340</v>
      </c>
      <c r="F128" s="91">
        <v>1</v>
      </c>
      <c r="G128" s="91">
        <v>155.16999999999999</v>
      </c>
      <c r="H128" s="86">
        <f t="shared" si="31"/>
        <v>203.83</v>
      </c>
      <c r="I128" s="86">
        <f t="shared" si="30"/>
        <v>203.83</v>
      </c>
      <c r="K128" s="50">
        <f t="shared" si="25"/>
        <v>203.83</v>
      </c>
    </row>
    <row r="129" spans="1:11" s="6" customFormat="1" ht="30">
      <c r="A129" s="82" t="s">
        <v>385</v>
      </c>
      <c r="B129" s="82">
        <v>170549</v>
      </c>
      <c r="C129" s="90" t="s">
        <v>290</v>
      </c>
      <c r="D129" s="85" t="s">
        <v>630</v>
      </c>
      <c r="E129" s="82" t="s">
        <v>340</v>
      </c>
      <c r="F129" s="91">
        <v>1</v>
      </c>
      <c r="G129" s="91">
        <v>2398.58</v>
      </c>
      <c r="H129" s="86">
        <f t="shared" si="31"/>
        <v>3150.77</v>
      </c>
      <c r="I129" s="86">
        <f t="shared" si="30"/>
        <v>3150.77</v>
      </c>
      <c r="K129" s="50">
        <f t="shared" si="25"/>
        <v>3150.77</v>
      </c>
    </row>
    <row r="130" spans="1:11" s="6" customFormat="1">
      <c r="A130" s="82" t="s">
        <v>386</v>
      </c>
      <c r="B130" s="82">
        <v>142120</v>
      </c>
      <c r="C130" s="88" t="s">
        <v>291</v>
      </c>
      <c r="D130" s="85" t="s">
        <v>630</v>
      </c>
      <c r="E130" s="82" t="s">
        <v>340</v>
      </c>
      <c r="F130" s="91">
        <v>1</v>
      </c>
      <c r="G130" s="91">
        <v>137.08000000000001</v>
      </c>
      <c r="H130" s="86">
        <f t="shared" si="31"/>
        <v>180.07</v>
      </c>
      <c r="I130" s="86">
        <f t="shared" si="30"/>
        <v>180.07</v>
      </c>
      <c r="K130" s="50">
        <f t="shared" si="25"/>
        <v>180.07</v>
      </c>
    </row>
    <row r="131" spans="1:11" s="6" customFormat="1" ht="30">
      <c r="A131" s="82" t="s">
        <v>387</v>
      </c>
      <c r="B131" s="106">
        <v>141525</v>
      </c>
      <c r="C131" s="105" t="s">
        <v>292</v>
      </c>
      <c r="D131" s="85" t="s">
        <v>630</v>
      </c>
      <c r="E131" s="106" t="s">
        <v>340</v>
      </c>
      <c r="F131" s="112">
        <v>1</v>
      </c>
      <c r="G131" s="112">
        <v>44.82</v>
      </c>
      <c r="H131" s="86">
        <f t="shared" si="31"/>
        <v>58.88</v>
      </c>
      <c r="I131" s="86">
        <f t="shared" si="30"/>
        <v>58.88</v>
      </c>
      <c r="K131" s="50">
        <f t="shared" si="25"/>
        <v>58.88</v>
      </c>
    </row>
    <row r="132" spans="1:11" s="6" customFormat="1">
      <c r="A132" s="67" t="s">
        <v>237</v>
      </c>
      <c r="B132" s="79" t="s">
        <v>206</v>
      </c>
      <c r="C132" s="80"/>
      <c r="D132" s="80"/>
      <c r="E132" s="69"/>
      <c r="F132" s="122"/>
      <c r="G132" s="122"/>
      <c r="H132" s="122"/>
      <c r="I132" s="70"/>
      <c r="K132" s="50">
        <f t="shared" si="25"/>
        <v>0</v>
      </c>
    </row>
    <row r="133" spans="1:11" s="6" customFormat="1" ht="60">
      <c r="A133" s="82" t="s">
        <v>388</v>
      </c>
      <c r="B133" s="83" t="s">
        <v>207</v>
      </c>
      <c r="C133" s="99" t="s">
        <v>208</v>
      </c>
      <c r="D133" s="85" t="s">
        <v>630</v>
      </c>
      <c r="E133" s="85" t="s">
        <v>340</v>
      </c>
      <c r="F133" s="86">
        <v>3</v>
      </c>
      <c r="G133" s="86">
        <v>607.9</v>
      </c>
      <c r="H133" s="86">
        <f>G133*1.3136</f>
        <v>798.54</v>
      </c>
      <c r="I133" s="86">
        <f t="shared" ref="I133:I143" si="32">F133*H133</f>
        <v>2395.62</v>
      </c>
      <c r="K133" s="50">
        <f t="shared" si="25"/>
        <v>2395.62</v>
      </c>
    </row>
    <row r="134" spans="1:11" s="6" customFormat="1" ht="30">
      <c r="A134" s="82" t="s">
        <v>389</v>
      </c>
      <c r="B134" s="82">
        <v>141906</v>
      </c>
      <c r="C134" s="90" t="s">
        <v>775</v>
      </c>
      <c r="D134" s="85" t="s">
        <v>630</v>
      </c>
      <c r="E134" s="82" t="s">
        <v>49</v>
      </c>
      <c r="F134" s="91">
        <v>19.829999999999998</v>
      </c>
      <c r="G134" s="91">
        <v>29.5</v>
      </c>
      <c r="H134" s="86">
        <f t="shared" ref="H134:H143" si="33">G134*1.3136</f>
        <v>38.75</v>
      </c>
      <c r="I134" s="86">
        <f t="shared" si="32"/>
        <v>768.41</v>
      </c>
      <c r="K134" s="50">
        <f t="shared" si="25"/>
        <v>768.41</v>
      </c>
    </row>
    <row r="135" spans="1:11" s="6" customFormat="1" ht="30">
      <c r="A135" s="82" t="s">
        <v>390</v>
      </c>
      <c r="B135" s="82">
        <v>141907</v>
      </c>
      <c r="C135" s="90" t="s">
        <v>776</v>
      </c>
      <c r="D135" s="85" t="s">
        <v>630</v>
      </c>
      <c r="E135" s="82" t="s">
        <v>49</v>
      </c>
      <c r="F135" s="91">
        <v>98.82</v>
      </c>
      <c r="G135" s="91">
        <v>40.76</v>
      </c>
      <c r="H135" s="86">
        <f t="shared" si="33"/>
        <v>53.54</v>
      </c>
      <c r="I135" s="86">
        <f t="shared" si="32"/>
        <v>5290.82</v>
      </c>
      <c r="K135" s="50">
        <f t="shared" si="25"/>
        <v>5290.82</v>
      </c>
    </row>
    <row r="136" spans="1:11" s="6" customFormat="1" ht="30">
      <c r="A136" s="82" t="s">
        <v>391</v>
      </c>
      <c r="B136" s="82">
        <v>141909</v>
      </c>
      <c r="C136" s="90" t="s">
        <v>777</v>
      </c>
      <c r="D136" s="85" t="s">
        <v>630</v>
      </c>
      <c r="E136" s="82" t="s">
        <v>49</v>
      </c>
      <c r="F136" s="91">
        <v>143.05000000000001</v>
      </c>
      <c r="G136" s="91">
        <v>71.39</v>
      </c>
      <c r="H136" s="86">
        <f t="shared" si="33"/>
        <v>93.78</v>
      </c>
      <c r="I136" s="86">
        <f t="shared" si="32"/>
        <v>13415.23</v>
      </c>
      <c r="K136" s="50">
        <f t="shared" si="25"/>
        <v>13415.23</v>
      </c>
    </row>
    <row r="137" spans="1:11" s="6" customFormat="1" ht="30">
      <c r="A137" s="82" t="s">
        <v>392</v>
      </c>
      <c r="B137" s="82">
        <v>141910</v>
      </c>
      <c r="C137" s="90" t="s">
        <v>778</v>
      </c>
      <c r="D137" s="85" t="s">
        <v>630</v>
      </c>
      <c r="E137" s="82" t="s">
        <v>49</v>
      </c>
      <c r="F137" s="91">
        <v>63.03</v>
      </c>
      <c r="G137" s="91">
        <v>100.52</v>
      </c>
      <c r="H137" s="86">
        <f t="shared" si="33"/>
        <v>132.04</v>
      </c>
      <c r="I137" s="86">
        <f t="shared" si="32"/>
        <v>8322.48</v>
      </c>
      <c r="K137" s="50">
        <f t="shared" si="25"/>
        <v>8322.48</v>
      </c>
    </row>
    <row r="138" spans="1:11" s="6" customFormat="1" ht="30">
      <c r="A138" s="82" t="s">
        <v>393</v>
      </c>
      <c r="B138" s="82">
        <v>140712</v>
      </c>
      <c r="C138" s="90" t="s">
        <v>829</v>
      </c>
      <c r="D138" s="85" t="s">
        <v>630</v>
      </c>
      <c r="E138" s="82" t="s">
        <v>340</v>
      </c>
      <c r="F138" s="91">
        <v>12</v>
      </c>
      <c r="G138" s="91">
        <v>770.43</v>
      </c>
      <c r="H138" s="86">
        <f t="shared" si="33"/>
        <v>1012.04</v>
      </c>
      <c r="I138" s="86">
        <f t="shared" si="32"/>
        <v>12144.48</v>
      </c>
      <c r="K138" s="50">
        <f t="shared" si="25"/>
        <v>12144.48</v>
      </c>
    </row>
    <row r="139" spans="1:11" s="6" customFormat="1">
      <c r="A139" s="82" t="s">
        <v>394</v>
      </c>
      <c r="B139" s="82">
        <v>140705</v>
      </c>
      <c r="C139" s="88" t="s">
        <v>214</v>
      </c>
      <c r="D139" s="85" t="s">
        <v>630</v>
      </c>
      <c r="E139" s="82" t="s">
        <v>185</v>
      </c>
      <c r="F139" s="91">
        <v>14</v>
      </c>
      <c r="G139" s="91">
        <v>129.03</v>
      </c>
      <c r="H139" s="86">
        <f t="shared" si="33"/>
        <v>169.49</v>
      </c>
      <c r="I139" s="86">
        <f t="shared" si="32"/>
        <v>2372.86</v>
      </c>
      <c r="K139" s="50">
        <f t="shared" si="25"/>
        <v>2372.86</v>
      </c>
    </row>
    <row r="140" spans="1:11" s="6" customFormat="1">
      <c r="A140" s="82" t="s">
        <v>453</v>
      </c>
      <c r="B140" s="82">
        <v>140706</v>
      </c>
      <c r="C140" s="88" t="s">
        <v>215</v>
      </c>
      <c r="D140" s="85" t="s">
        <v>630</v>
      </c>
      <c r="E140" s="82" t="s">
        <v>185</v>
      </c>
      <c r="F140" s="91">
        <v>22</v>
      </c>
      <c r="G140" s="91">
        <v>99.94</v>
      </c>
      <c r="H140" s="86">
        <f t="shared" si="33"/>
        <v>131.28</v>
      </c>
      <c r="I140" s="86">
        <f t="shared" si="32"/>
        <v>2888.16</v>
      </c>
      <c r="K140" s="50">
        <f t="shared" si="25"/>
        <v>2888.16</v>
      </c>
    </row>
    <row r="141" spans="1:11" s="6" customFormat="1" ht="30">
      <c r="A141" s="82" t="s">
        <v>454</v>
      </c>
      <c r="B141" s="82">
        <v>140707</v>
      </c>
      <c r="C141" s="90" t="s">
        <v>219</v>
      </c>
      <c r="D141" s="85" t="s">
        <v>630</v>
      </c>
      <c r="E141" s="82" t="s">
        <v>185</v>
      </c>
      <c r="F141" s="91">
        <v>18</v>
      </c>
      <c r="G141" s="91">
        <v>186</v>
      </c>
      <c r="H141" s="86">
        <f t="shared" si="33"/>
        <v>244.33</v>
      </c>
      <c r="I141" s="86">
        <f t="shared" si="32"/>
        <v>4397.9399999999996</v>
      </c>
      <c r="K141" s="50">
        <f t="shared" si="25"/>
        <v>4397.9399999999996</v>
      </c>
    </row>
    <row r="142" spans="1:11" s="6" customFormat="1" ht="30">
      <c r="A142" s="82" t="s">
        <v>455</v>
      </c>
      <c r="B142" s="82" t="s">
        <v>220</v>
      </c>
      <c r="C142" s="90" t="s">
        <v>221</v>
      </c>
      <c r="D142" s="97" t="s">
        <v>642</v>
      </c>
      <c r="E142" s="82" t="s">
        <v>340</v>
      </c>
      <c r="F142" s="91">
        <v>6</v>
      </c>
      <c r="G142" s="91">
        <v>2144.3200000000002</v>
      </c>
      <c r="H142" s="86">
        <f t="shared" si="33"/>
        <v>2816.78</v>
      </c>
      <c r="I142" s="86">
        <f t="shared" si="32"/>
        <v>16900.68</v>
      </c>
      <c r="K142" s="50">
        <f t="shared" si="25"/>
        <v>16900.68</v>
      </c>
    </row>
    <row r="143" spans="1:11" s="6" customFormat="1" ht="30">
      <c r="A143" s="82" t="s">
        <v>456</v>
      </c>
      <c r="B143" s="87" t="s">
        <v>749</v>
      </c>
      <c r="C143" s="105" t="s">
        <v>63</v>
      </c>
      <c r="D143" s="85" t="s">
        <v>630</v>
      </c>
      <c r="E143" s="106" t="s">
        <v>64</v>
      </c>
      <c r="F143" s="112">
        <v>46</v>
      </c>
      <c r="G143" s="112">
        <v>58.11</v>
      </c>
      <c r="H143" s="86">
        <f t="shared" si="33"/>
        <v>76.33</v>
      </c>
      <c r="I143" s="86">
        <f t="shared" si="32"/>
        <v>3511.18</v>
      </c>
      <c r="K143" s="50">
        <f t="shared" si="25"/>
        <v>3511.18</v>
      </c>
    </row>
    <row r="144" spans="1:11" s="6" customFormat="1">
      <c r="A144" s="67" t="s">
        <v>457</v>
      </c>
      <c r="B144" s="311" t="s">
        <v>223</v>
      </c>
      <c r="C144" s="312"/>
      <c r="D144" s="77"/>
      <c r="E144" s="69"/>
      <c r="F144" s="122"/>
      <c r="G144" s="122"/>
      <c r="H144" s="122"/>
      <c r="I144" s="70"/>
      <c r="K144" s="50">
        <f t="shared" si="25"/>
        <v>0</v>
      </c>
    </row>
    <row r="145" spans="1:11" s="6" customFormat="1" ht="30">
      <c r="A145" s="82" t="s">
        <v>458</v>
      </c>
      <c r="B145" s="85">
        <v>170562</v>
      </c>
      <c r="C145" s="95" t="s">
        <v>189</v>
      </c>
      <c r="D145" s="85" t="s">
        <v>630</v>
      </c>
      <c r="E145" s="85" t="s">
        <v>340</v>
      </c>
      <c r="F145" s="86">
        <v>2</v>
      </c>
      <c r="G145" s="86">
        <v>3611.04</v>
      </c>
      <c r="H145" s="86">
        <f>G145*1.3136</f>
        <v>4743.46</v>
      </c>
      <c r="I145" s="86">
        <f t="shared" ref="I145:I159" si="34">F145*H145</f>
        <v>9486.92</v>
      </c>
      <c r="K145" s="50">
        <f t="shared" si="25"/>
        <v>9486.92</v>
      </c>
    </row>
    <row r="146" spans="1:11" s="6" customFormat="1" ht="45">
      <c r="A146" s="82" t="s">
        <v>459</v>
      </c>
      <c r="B146" s="82">
        <v>170510</v>
      </c>
      <c r="C146" s="96" t="s">
        <v>190</v>
      </c>
      <c r="D146" s="85" t="s">
        <v>630</v>
      </c>
      <c r="E146" s="82" t="s">
        <v>340</v>
      </c>
      <c r="F146" s="91">
        <v>2</v>
      </c>
      <c r="G146" s="91">
        <v>5142.01</v>
      </c>
      <c r="H146" s="86">
        <f t="shared" ref="H146:H159" si="35">G146*1.3136</f>
        <v>6754.54</v>
      </c>
      <c r="I146" s="86">
        <f t="shared" si="34"/>
        <v>13509.08</v>
      </c>
      <c r="K146" s="50">
        <f t="shared" si="25"/>
        <v>13509.08</v>
      </c>
    </row>
    <row r="147" spans="1:11" s="6" customFormat="1" ht="30">
      <c r="A147" s="82" t="s">
        <v>460</v>
      </c>
      <c r="B147" s="82">
        <v>170509</v>
      </c>
      <c r="C147" s="96" t="s">
        <v>191</v>
      </c>
      <c r="D147" s="85" t="s">
        <v>630</v>
      </c>
      <c r="E147" s="82" t="s">
        <v>340</v>
      </c>
      <c r="F147" s="91">
        <v>1</v>
      </c>
      <c r="G147" s="91">
        <v>2423.6</v>
      </c>
      <c r="H147" s="86">
        <f t="shared" si="35"/>
        <v>3183.64</v>
      </c>
      <c r="I147" s="86">
        <f t="shared" si="34"/>
        <v>3183.64</v>
      </c>
      <c r="K147" s="50">
        <f t="shared" si="25"/>
        <v>3183.64</v>
      </c>
    </row>
    <row r="148" spans="1:11" s="6" customFormat="1" ht="30">
      <c r="A148" s="82" t="s">
        <v>461</v>
      </c>
      <c r="B148" s="82">
        <v>170533</v>
      </c>
      <c r="C148" s="96" t="s">
        <v>192</v>
      </c>
      <c r="D148" s="85" t="s">
        <v>630</v>
      </c>
      <c r="E148" s="82" t="s">
        <v>340</v>
      </c>
      <c r="F148" s="91">
        <v>1</v>
      </c>
      <c r="G148" s="91">
        <v>1595.52</v>
      </c>
      <c r="H148" s="86">
        <f t="shared" si="35"/>
        <v>2095.88</v>
      </c>
      <c r="I148" s="86">
        <f t="shared" si="34"/>
        <v>2095.88</v>
      </c>
      <c r="K148" s="50">
        <f t="shared" si="25"/>
        <v>2095.88</v>
      </c>
    </row>
    <row r="149" spans="1:11" s="6" customFormat="1" ht="64.5" customHeight="1">
      <c r="A149" s="82" t="s">
        <v>462</v>
      </c>
      <c r="B149" s="82">
        <v>170115</v>
      </c>
      <c r="C149" s="96" t="s">
        <v>779</v>
      </c>
      <c r="D149" s="85" t="s">
        <v>630</v>
      </c>
      <c r="E149" s="82" t="s">
        <v>340</v>
      </c>
      <c r="F149" s="91">
        <v>14</v>
      </c>
      <c r="G149" s="91">
        <v>349.83</v>
      </c>
      <c r="H149" s="86">
        <f t="shared" si="35"/>
        <v>459.54</v>
      </c>
      <c r="I149" s="86">
        <f t="shared" si="34"/>
        <v>6433.56</v>
      </c>
      <c r="K149" s="50">
        <f t="shared" si="25"/>
        <v>6433.56</v>
      </c>
    </row>
    <row r="150" spans="1:11" s="6" customFormat="1" ht="30">
      <c r="A150" s="82" t="s">
        <v>463</v>
      </c>
      <c r="B150" s="82">
        <v>170309</v>
      </c>
      <c r="C150" s="96" t="s">
        <v>780</v>
      </c>
      <c r="D150" s="85" t="s">
        <v>630</v>
      </c>
      <c r="E150" s="82" t="s">
        <v>340</v>
      </c>
      <c r="F150" s="91">
        <v>5</v>
      </c>
      <c r="G150" s="91">
        <v>133.44999999999999</v>
      </c>
      <c r="H150" s="86">
        <f t="shared" si="35"/>
        <v>175.3</v>
      </c>
      <c r="I150" s="86">
        <f t="shared" si="34"/>
        <v>876.5</v>
      </c>
      <c r="K150" s="50">
        <f t="shared" si="25"/>
        <v>876.5</v>
      </c>
    </row>
    <row r="151" spans="1:11" s="6" customFormat="1" ht="30">
      <c r="A151" s="82" t="s">
        <v>464</v>
      </c>
      <c r="B151" s="82">
        <v>170304</v>
      </c>
      <c r="C151" s="96" t="s">
        <v>781</v>
      </c>
      <c r="D151" s="85" t="s">
        <v>630</v>
      </c>
      <c r="E151" s="82" t="s">
        <v>340</v>
      </c>
      <c r="F151" s="91">
        <v>14</v>
      </c>
      <c r="G151" s="91">
        <v>243.44</v>
      </c>
      <c r="H151" s="86">
        <f t="shared" si="35"/>
        <v>319.77999999999997</v>
      </c>
      <c r="I151" s="86">
        <f t="shared" si="34"/>
        <v>4476.92</v>
      </c>
      <c r="K151" s="50">
        <f t="shared" si="25"/>
        <v>4476.92</v>
      </c>
    </row>
    <row r="152" spans="1:11" s="6" customFormat="1" ht="18" customHeight="1">
      <c r="A152" s="82" t="s">
        <v>465</v>
      </c>
      <c r="B152" s="82">
        <v>170315</v>
      </c>
      <c r="C152" s="96" t="s">
        <v>782</v>
      </c>
      <c r="D152" s="85" t="s">
        <v>630</v>
      </c>
      <c r="E152" s="82" t="s">
        <v>340</v>
      </c>
      <c r="F152" s="91">
        <v>1</v>
      </c>
      <c r="G152" s="91">
        <v>268.01</v>
      </c>
      <c r="H152" s="86">
        <f t="shared" si="35"/>
        <v>352.06</v>
      </c>
      <c r="I152" s="86">
        <f t="shared" si="34"/>
        <v>352.06</v>
      </c>
      <c r="K152" s="50">
        <f t="shared" si="25"/>
        <v>352.06</v>
      </c>
    </row>
    <row r="153" spans="1:11" s="6" customFormat="1" ht="30">
      <c r="A153" s="82" t="s">
        <v>466</v>
      </c>
      <c r="B153" s="82">
        <v>170306</v>
      </c>
      <c r="C153" s="96" t="s">
        <v>783</v>
      </c>
      <c r="D153" s="85" t="s">
        <v>630</v>
      </c>
      <c r="E153" s="82" t="s">
        <v>340</v>
      </c>
      <c r="F153" s="91">
        <v>1</v>
      </c>
      <c r="G153" s="91">
        <v>201.88</v>
      </c>
      <c r="H153" s="86">
        <f t="shared" si="35"/>
        <v>265.19</v>
      </c>
      <c r="I153" s="86">
        <f t="shared" si="34"/>
        <v>265.19</v>
      </c>
      <c r="K153" s="50">
        <f t="shared" si="25"/>
        <v>265.19</v>
      </c>
    </row>
    <row r="154" spans="1:11" s="6" customFormat="1" ht="30">
      <c r="A154" s="82" t="s">
        <v>467</v>
      </c>
      <c r="B154" s="82">
        <v>95544</v>
      </c>
      <c r="C154" s="96" t="s">
        <v>784</v>
      </c>
      <c r="D154" s="82" t="s">
        <v>72</v>
      </c>
      <c r="E154" s="82" t="s">
        <v>340</v>
      </c>
      <c r="F154" s="91">
        <v>14</v>
      </c>
      <c r="G154" s="91">
        <v>53.66</v>
      </c>
      <c r="H154" s="86">
        <f t="shared" si="35"/>
        <v>70.489999999999995</v>
      </c>
      <c r="I154" s="86">
        <f t="shared" si="34"/>
        <v>986.86</v>
      </c>
      <c r="K154" s="50">
        <f t="shared" si="25"/>
        <v>986.86</v>
      </c>
    </row>
    <row r="155" spans="1:11" s="6" customFormat="1" ht="30">
      <c r="A155" s="82" t="s">
        <v>468</v>
      </c>
      <c r="B155" s="82">
        <v>95545</v>
      </c>
      <c r="C155" s="96" t="s">
        <v>785</v>
      </c>
      <c r="D155" s="82" t="s">
        <v>72</v>
      </c>
      <c r="E155" s="82" t="s">
        <v>340</v>
      </c>
      <c r="F155" s="91">
        <v>14</v>
      </c>
      <c r="G155" s="91">
        <v>52.62</v>
      </c>
      <c r="H155" s="86">
        <f t="shared" si="35"/>
        <v>69.12</v>
      </c>
      <c r="I155" s="86">
        <f t="shared" si="34"/>
        <v>967.68</v>
      </c>
      <c r="K155" s="50">
        <f t="shared" ref="K155:K217" si="36">H155*F155</f>
        <v>967.68</v>
      </c>
    </row>
    <row r="156" spans="1:11" s="6" customFormat="1" ht="30">
      <c r="A156" s="82" t="s">
        <v>469</v>
      </c>
      <c r="B156" s="82">
        <v>170519</v>
      </c>
      <c r="C156" s="96" t="s">
        <v>204</v>
      </c>
      <c r="D156" s="85" t="s">
        <v>630</v>
      </c>
      <c r="E156" s="82" t="s">
        <v>340</v>
      </c>
      <c r="F156" s="91">
        <v>14</v>
      </c>
      <c r="G156" s="91">
        <v>298.83</v>
      </c>
      <c r="H156" s="86">
        <f t="shared" si="35"/>
        <v>392.54</v>
      </c>
      <c r="I156" s="86">
        <f t="shared" si="34"/>
        <v>5495.56</v>
      </c>
      <c r="K156" s="50">
        <f t="shared" si="36"/>
        <v>5495.56</v>
      </c>
    </row>
    <row r="157" spans="1:11" s="6" customFormat="1" ht="45">
      <c r="A157" s="82" t="s">
        <v>470</v>
      </c>
      <c r="B157" s="82">
        <v>170116</v>
      </c>
      <c r="C157" s="96" t="s">
        <v>786</v>
      </c>
      <c r="D157" s="85" t="s">
        <v>630</v>
      </c>
      <c r="E157" s="82" t="s">
        <v>340</v>
      </c>
      <c r="F157" s="91">
        <v>8</v>
      </c>
      <c r="G157" s="91">
        <v>599.74</v>
      </c>
      <c r="H157" s="86">
        <f t="shared" si="35"/>
        <v>787.82</v>
      </c>
      <c r="I157" s="86">
        <f t="shared" si="34"/>
        <v>6302.56</v>
      </c>
      <c r="K157" s="50">
        <f t="shared" si="36"/>
        <v>6302.56</v>
      </c>
    </row>
    <row r="158" spans="1:11" s="6" customFormat="1" ht="75.75" customHeight="1">
      <c r="A158" s="82" t="s">
        <v>471</v>
      </c>
      <c r="B158" s="82">
        <v>170135</v>
      </c>
      <c r="C158" s="96" t="s">
        <v>787</v>
      </c>
      <c r="D158" s="85" t="s">
        <v>630</v>
      </c>
      <c r="E158" s="82" t="s">
        <v>340</v>
      </c>
      <c r="F158" s="91">
        <v>4</v>
      </c>
      <c r="G158" s="91">
        <v>3475.02</v>
      </c>
      <c r="H158" s="86">
        <f t="shared" si="35"/>
        <v>4564.79</v>
      </c>
      <c r="I158" s="86">
        <f t="shared" si="34"/>
        <v>18259.16</v>
      </c>
      <c r="K158" s="50">
        <f t="shared" si="36"/>
        <v>18259.16</v>
      </c>
    </row>
    <row r="159" spans="1:11" s="6" customFormat="1" ht="63.75" customHeight="1">
      <c r="A159" s="82" t="s">
        <v>472</v>
      </c>
      <c r="B159" s="116">
        <v>170136</v>
      </c>
      <c r="C159" s="96" t="s">
        <v>788</v>
      </c>
      <c r="D159" s="85" t="s">
        <v>630</v>
      </c>
      <c r="E159" s="82" t="s">
        <v>340</v>
      </c>
      <c r="F159" s="91">
        <v>2</v>
      </c>
      <c r="G159" s="91">
        <v>1114.01</v>
      </c>
      <c r="H159" s="86">
        <f t="shared" si="35"/>
        <v>1463.36</v>
      </c>
      <c r="I159" s="86">
        <f t="shared" si="34"/>
        <v>2926.72</v>
      </c>
      <c r="K159" s="50">
        <f t="shared" si="36"/>
        <v>2926.72</v>
      </c>
    </row>
    <row r="160" spans="1:11" s="6" customFormat="1">
      <c r="A160" s="320" t="s">
        <v>293</v>
      </c>
      <c r="B160" s="320"/>
      <c r="C160" s="320"/>
      <c r="D160" s="320"/>
      <c r="E160" s="320"/>
      <c r="F160" s="320"/>
      <c r="G160" s="320"/>
      <c r="H160" s="320"/>
      <c r="I160" s="36">
        <f>SUM(I120:I159)</f>
        <v>171720.5</v>
      </c>
      <c r="K160" s="50">
        <f t="shared" si="36"/>
        <v>0</v>
      </c>
    </row>
    <row r="161" spans="1:11" s="6" customFormat="1">
      <c r="A161" s="309" t="s">
        <v>239</v>
      </c>
      <c r="B161" s="316" t="s">
        <v>234</v>
      </c>
      <c r="C161" s="317"/>
      <c r="D161" s="317"/>
      <c r="E161" s="317"/>
      <c r="F161" s="317"/>
      <c r="G161" s="317"/>
      <c r="H161" s="317"/>
      <c r="I161" s="319"/>
      <c r="K161" s="50">
        <f t="shared" si="36"/>
        <v>0</v>
      </c>
    </row>
    <row r="162" spans="1:11" s="6" customFormat="1">
      <c r="A162" s="52" t="s">
        <v>242</v>
      </c>
      <c r="B162" s="311" t="s">
        <v>542</v>
      </c>
      <c r="C162" s="312"/>
      <c r="D162" s="312"/>
      <c r="E162" s="312"/>
      <c r="F162" s="312"/>
      <c r="G162" s="312"/>
      <c r="H162" s="312"/>
      <c r="I162" s="313"/>
      <c r="K162" s="50">
        <f t="shared" si="36"/>
        <v>0</v>
      </c>
    </row>
    <row r="163" spans="1:11" s="6" customFormat="1" ht="45">
      <c r="A163" s="117" t="s">
        <v>243</v>
      </c>
      <c r="B163" s="82">
        <v>151711</v>
      </c>
      <c r="C163" s="90" t="s">
        <v>789</v>
      </c>
      <c r="D163" s="85" t="s">
        <v>630</v>
      </c>
      <c r="E163" s="82" t="s">
        <v>340</v>
      </c>
      <c r="F163" s="91">
        <v>1</v>
      </c>
      <c r="G163" s="91">
        <v>6527.47</v>
      </c>
      <c r="H163" s="91">
        <f t="shared" ref="H163:H192" si="37">G163*1.3136</f>
        <v>8574.48</v>
      </c>
      <c r="I163" s="91">
        <f t="shared" ref="I163:I181" si="38">H163*F163</f>
        <v>8574.48</v>
      </c>
      <c r="K163" s="50">
        <f t="shared" si="36"/>
        <v>8574.48</v>
      </c>
    </row>
    <row r="164" spans="1:11" s="6" customFormat="1" ht="45">
      <c r="A164" s="117" t="s">
        <v>244</v>
      </c>
      <c r="B164" s="82">
        <v>150616</v>
      </c>
      <c r="C164" s="90" t="s">
        <v>260</v>
      </c>
      <c r="D164" s="85" t="s">
        <v>630</v>
      </c>
      <c r="E164" s="82" t="s">
        <v>340</v>
      </c>
      <c r="F164" s="91">
        <v>17</v>
      </c>
      <c r="G164" s="91">
        <v>277.38</v>
      </c>
      <c r="H164" s="91">
        <f t="shared" si="37"/>
        <v>364.37</v>
      </c>
      <c r="I164" s="91">
        <f t="shared" si="38"/>
        <v>6194.29</v>
      </c>
      <c r="K164" s="50">
        <f t="shared" si="36"/>
        <v>6194.29</v>
      </c>
    </row>
    <row r="165" spans="1:11" s="6" customFormat="1" ht="45">
      <c r="A165" s="117" t="s">
        <v>245</v>
      </c>
      <c r="B165" s="82">
        <v>151801</v>
      </c>
      <c r="C165" s="90" t="s">
        <v>790</v>
      </c>
      <c r="D165" s="85" t="s">
        <v>630</v>
      </c>
      <c r="E165" s="82" t="s">
        <v>340</v>
      </c>
      <c r="F165" s="91">
        <v>150</v>
      </c>
      <c r="G165" s="91">
        <v>217.05</v>
      </c>
      <c r="H165" s="91">
        <f t="shared" si="37"/>
        <v>285.12</v>
      </c>
      <c r="I165" s="91">
        <f t="shared" si="38"/>
        <v>42768</v>
      </c>
      <c r="K165" s="50">
        <f t="shared" si="36"/>
        <v>42768</v>
      </c>
    </row>
    <row r="166" spans="1:11" s="6" customFormat="1" ht="45">
      <c r="A166" s="117" t="s">
        <v>246</v>
      </c>
      <c r="B166" s="82">
        <v>151802</v>
      </c>
      <c r="C166" s="90" t="s">
        <v>791</v>
      </c>
      <c r="D166" s="85" t="s">
        <v>630</v>
      </c>
      <c r="E166" s="82" t="s">
        <v>340</v>
      </c>
      <c r="F166" s="91">
        <v>2</v>
      </c>
      <c r="G166" s="91">
        <v>193.18</v>
      </c>
      <c r="H166" s="91">
        <f t="shared" si="37"/>
        <v>253.76</v>
      </c>
      <c r="I166" s="91">
        <f t="shared" si="38"/>
        <v>507.52</v>
      </c>
      <c r="K166" s="50">
        <f t="shared" si="36"/>
        <v>507.52</v>
      </c>
    </row>
    <row r="167" spans="1:11" s="6" customFormat="1" ht="45">
      <c r="A167" s="117" t="s">
        <v>247</v>
      </c>
      <c r="B167" s="82">
        <v>151806</v>
      </c>
      <c r="C167" s="90" t="s">
        <v>792</v>
      </c>
      <c r="D167" s="85" t="s">
        <v>630</v>
      </c>
      <c r="E167" s="82" t="s">
        <v>340</v>
      </c>
      <c r="F167" s="91">
        <v>16</v>
      </c>
      <c r="G167" s="91">
        <v>313.94</v>
      </c>
      <c r="H167" s="91">
        <f t="shared" si="37"/>
        <v>412.39</v>
      </c>
      <c r="I167" s="91">
        <f t="shared" si="38"/>
        <v>6598.24</v>
      </c>
      <c r="K167" s="50">
        <f t="shared" si="36"/>
        <v>6598.24</v>
      </c>
    </row>
    <row r="168" spans="1:11" s="6" customFormat="1" ht="45">
      <c r="A168" s="117" t="s">
        <v>395</v>
      </c>
      <c r="B168" s="82">
        <v>151809</v>
      </c>
      <c r="C168" s="90" t="s">
        <v>793</v>
      </c>
      <c r="D168" s="85" t="s">
        <v>630</v>
      </c>
      <c r="E168" s="82" t="s">
        <v>340</v>
      </c>
      <c r="F168" s="91">
        <v>2</v>
      </c>
      <c r="G168" s="91">
        <v>195.86</v>
      </c>
      <c r="H168" s="91">
        <f t="shared" si="37"/>
        <v>257.27999999999997</v>
      </c>
      <c r="I168" s="91">
        <f t="shared" si="38"/>
        <v>514.55999999999995</v>
      </c>
      <c r="K168" s="50">
        <f t="shared" si="36"/>
        <v>514.55999999999995</v>
      </c>
    </row>
    <row r="169" spans="1:11" s="6" customFormat="1" ht="45">
      <c r="A169" s="117" t="s">
        <v>396</v>
      </c>
      <c r="B169" s="82">
        <v>151810</v>
      </c>
      <c r="C169" s="90" t="s">
        <v>794</v>
      </c>
      <c r="D169" s="85" t="s">
        <v>630</v>
      </c>
      <c r="E169" s="82" t="s">
        <v>340</v>
      </c>
      <c r="F169" s="91">
        <v>21</v>
      </c>
      <c r="G169" s="91">
        <v>371.2</v>
      </c>
      <c r="H169" s="91">
        <f t="shared" si="37"/>
        <v>487.61</v>
      </c>
      <c r="I169" s="91">
        <f>H169*F169</f>
        <v>10239.81</v>
      </c>
      <c r="K169" s="50">
        <f t="shared" si="36"/>
        <v>10239.81</v>
      </c>
    </row>
    <row r="170" spans="1:11" s="6" customFormat="1" ht="45">
      <c r="A170" s="117" t="s">
        <v>433</v>
      </c>
      <c r="B170" s="82">
        <v>151820</v>
      </c>
      <c r="C170" s="90" t="s">
        <v>795</v>
      </c>
      <c r="D170" s="85" t="s">
        <v>630</v>
      </c>
      <c r="E170" s="82" t="s">
        <v>340</v>
      </c>
      <c r="F170" s="91">
        <v>25</v>
      </c>
      <c r="G170" s="91">
        <v>185.89</v>
      </c>
      <c r="H170" s="91">
        <f t="shared" si="37"/>
        <v>244.19</v>
      </c>
      <c r="I170" s="91">
        <f t="shared" si="38"/>
        <v>6104.75</v>
      </c>
      <c r="K170" s="50">
        <f t="shared" si="36"/>
        <v>6104.75</v>
      </c>
    </row>
    <row r="171" spans="1:11" s="6" customFormat="1" ht="45">
      <c r="A171" s="117" t="s">
        <v>434</v>
      </c>
      <c r="B171" s="82">
        <v>151803</v>
      </c>
      <c r="C171" s="90" t="s">
        <v>796</v>
      </c>
      <c r="D171" s="85" t="s">
        <v>630</v>
      </c>
      <c r="E171" s="82" t="s">
        <v>340</v>
      </c>
      <c r="F171" s="91">
        <v>138</v>
      </c>
      <c r="G171" s="91">
        <v>221.19</v>
      </c>
      <c r="H171" s="91">
        <f t="shared" si="37"/>
        <v>290.56</v>
      </c>
      <c r="I171" s="91">
        <f t="shared" si="38"/>
        <v>40097.279999999999</v>
      </c>
      <c r="K171" s="50">
        <f t="shared" si="36"/>
        <v>40097.279999999999</v>
      </c>
    </row>
    <row r="172" spans="1:11" s="6" customFormat="1" ht="45">
      <c r="A172" s="117" t="s">
        <v>435</v>
      </c>
      <c r="B172" s="82">
        <v>151814</v>
      </c>
      <c r="C172" s="90" t="s">
        <v>268</v>
      </c>
      <c r="D172" s="85" t="s">
        <v>630</v>
      </c>
      <c r="E172" s="82" t="s">
        <v>340</v>
      </c>
      <c r="F172" s="91">
        <v>14</v>
      </c>
      <c r="G172" s="91">
        <v>323.20999999999998</v>
      </c>
      <c r="H172" s="91">
        <f t="shared" si="37"/>
        <v>424.57</v>
      </c>
      <c r="I172" s="91">
        <f t="shared" si="38"/>
        <v>5943.98</v>
      </c>
      <c r="K172" s="50">
        <f t="shared" si="36"/>
        <v>5943.98</v>
      </c>
    </row>
    <row r="173" spans="1:11" s="6" customFormat="1" ht="30">
      <c r="A173" s="117" t="s">
        <v>436</v>
      </c>
      <c r="B173" s="82">
        <v>160613</v>
      </c>
      <c r="C173" s="90" t="s">
        <v>269</v>
      </c>
      <c r="D173" s="85" t="s">
        <v>630</v>
      </c>
      <c r="E173" s="82" t="s">
        <v>340</v>
      </c>
      <c r="F173" s="91">
        <v>13</v>
      </c>
      <c r="G173" s="91">
        <v>255.17</v>
      </c>
      <c r="H173" s="91">
        <f t="shared" si="37"/>
        <v>335.19</v>
      </c>
      <c r="I173" s="91">
        <f t="shared" si="38"/>
        <v>4357.47</v>
      </c>
      <c r="K173" s="50">
        <f t="shared" si="36"/>
        <v>4357.47</v>
      </c>
    </row>
    <row r="174" spans="1:11" s="6" customFormat="1" ht="30">
      <c r="A174" s="117" t="s">
        <v>437</v>
      </c>
      <c r="B174" s="82">
        <v>41237</v>
      </c>
      <c r="C174" s="90" t="s">
        <v>270</v>
      </c>
      <c r="D174" s="97" t="s">
        <v>642</v>
      </c>
      <c r="E174" s="82" t="s">
        <v>340</v>
      </c>
      <c r="F174" s="91">
        <v>3</v>
      </c>
      <c r="G174" s="91">
        <f>(1438.06)*1.8145</f>
        <v>2609.36</v>
      </c>
      <c r="H174" s="91">
        <f t="shared" si="37"/>
        <v>3427.66</v>
      </c>
      <c r="I174" s="91">
        <f t="shared" si="38"/>
        <v>10282.98</v>
      </c>
      <c r="J174" s="126"/>
      <c r="K174" s="50">
        <f t="shared" si="36"/>
        <v>10282.98</v>
      </c>
    </row>
    <row r="175" spans="1:11" s="6" customFormat="1" ht="30">
      <c r="A175" s="117" t="s">
        <v>473</v>
      </c>
      <c r="B175" s="82">
        <v>150306</v>
      </c>
      <c r="C175" s="90" t="s">
        <v>797</v>
      </c>
      <c r="D175" s="85" t="s">
        <v>630</v>
      </c>
      <c r="E175" s="82" t="s">
        <v>340</v>
      </c>
      <c r="F175" s="91">
        <v>2</v>
      </c>
      <c r="G175" s="91">
        <v>268.99</v>
      </c>
      <c r="H175" s="91">
        <f t="shared" si="37"/>
        <v>353.35</v>
      </c>
      <c r="I175" s="91">
        <f>H175*F175</f>
        <v>706.7</v>
      </c>
      <c r="K175" s="50">
        <f t="shared" si="36"/>
        <v>706.7</v>
      </c>
    </row>
    <row r="176" spans="1:11" s="6" customFormat="1" ht="60">
      <c r="A176" s="117" t="s">
        <v>474</v>
      </c>
      <c r="B176" s="82">
        <v>150315</v>
      </c>
      <c r="C176" s="90" t="s">
        <v>274</v>
      </c>
      <c r="D176" s="85" t="s">
        <v>630</v>
      </c>
      <c r="E176" s="82" t="s">
        <v>340</v>
      </c>
      <c r="F176" s="91">
        <v>2</v>
      </c>
      <c r="G176" s="91">
        <v>935.31</v>
      </c>
      <c r="H176" s="91">
        <f t="shared" si="37"/>
        <v>1228.6199999999999</v>
      </c>
      <c r="I176" s="91">
        <f t="shared" si="38"/>
        <v>2457.2399999999998</v>
      </c>
      <c r="K176" s="50">
        <f t="shared" si="36"/>
        <v>2457.2399999999998</v>
      </c>
    </row>
    <row r="177" spans="1:11" s="6" customFormat="1" ht="30">
      <c r="A177" s="117" t="s">
        <v>475</v>
      </c>
      <c r="B177" s="82">
        <v>151404</v>
      </c>
      <c r="C177" s="90" t="s">
        <v>798</v>
      </c>
      <c r="D177" s="85" t="s">
        <v>630</v>
      </c>
      <c r="E177" s="82" t="s">
        <v>49</v>
      </c>
      <c r="F177" s="91">
        <v>352.5</v>
      </c>
      <c r="G177" s="91">
        <v>11.24</v>
      </c>
      <c r="H177" s="91">
        <f t="shared" si="37"/>
        <v>14.76</v>
      </c>
      <c r="I177" s="91">
        <f t="shared" si="38"/>
        <v>5202.8999999999996</v>
      </c>
      <c r="K177" s="50">
        <f t="shared" si="36"/>
        <v>5202.8999999999996</v>
      </c>
    </row>
    <row r="178" spans="1:11" s="6" customFormat="1" ht="30">
      <c r="A178" s="117" t="s">
        <v>476</v>
      </c>
      <c r="B178" s="82">
        <v>151405</v>
      </c>
      <c r="C178" s="90" t="s">
        <v>799</v>
      </c>
      <c r="D178" s="85" t="s">
        <v>630</v>
      </c>
      <c r="E178" s="82" t="s">
        <v>49</v>
      </c>
      <c r="F178" s="91">
        <v>162.19999999999999</v>
      </c>
      <c r="G178" s="91">
        <v>15.93</v>
      </c>
      <c r="H178" s="91">
        <f t="shared" si="37"/>
        <v>20.93</v>
      </c>
      <c r="I178" s="91">
        <f t="shared" si="38"/>
        <v>3394.85</v>
      </c>
      <c r="K178" s="50">
        <f t="shared" si="36"/>
        <v>3394.85</v>
      </c>
    </row>
    <row r="179" spans="1:11" s="6" customFormat="1" ht="30">
      <c r="A179" s="117" t="s">
        <v>477</v>
      </c>
      <c r="B179" s="82">
        <v>151406</v>
      </c>
      <c r="C179" s="90" t="s">
        <v>800</v>
      </c>
      <c r="D179" s="85" t="s">
        <v>630</v>
      </c>
      <c r="E179" s="82" t="s">
        <v>49</v>
      </c>
      <c r="F179" s="91">
        <v>222.1</v>
      </c>
      <c r="G179" s="91">
        <v>21.92</v>
      </c>
      <c r="H179" s="91">
        <f t="shared" si="37"/>
        <v>28.79</v>
      </c>
      <c r="I179" s="91">
        <f t="shared" si="38"/>
        <v>6394.26</v>
      </c>
      <c r="K179" s="50">
        <f t="shared" si="36"/>
        <v>6394.26</v>
      </c>
    </row>
    <row r="180" spans="1:11" s="6" customFormat="1" ht="30">
      <c r="A180" s="117" t="s">
        <v>478</v>
      </c>
      <c r="B180" s="82">
        <v>151425</v>
      </c>
      <c r="C180" s="90" t="s">
        <v>801</v>
      </c>
      <c r="D180" s="85" t="s">
        <v>630</v>
      </c>
      <c r="E180" s="82" t="s">
        <v>49</v>
      </c>
      <c r="F180" s="91">
        <v>70</v>
      </c>
      <c r="G180" s="91">
        <v>59.45</v>
      </c>
      <c r="H180" s="91">
        <f t="shared" si="37"/>
        <v>78.09</v>
      </c>
      <c r="I180" s="91">
        <f t="shared" si="38"/>
        <v>5466.3</v>
      </c>
      <c r="K180" s="50">
        <f t="shared" si="36"/>
        <v>5466.3</v>
      </c>
    </row>
    <row r="181" spans="1:11" s="6" customFormat="1">
      <c r="A181" s="117" t="s">
        <v>479</v>
      </c>
      <c r="B181" s="82">
        <v>151506</v>
      </c>
      <c r="C181" s="90" t="s">
        <v>313</v>
      </c>
      <c r="D181" s="85" t="s">
        <v>630</v>
      </c>
      <c r="E181" s="82" t="s">
        <v>340</v>
      </c>
      <c r="F181" s="91">
        <v>4</v>
      </c>
      <c r="G181" s="91">
        <v>238.33</v>
      </c>
      <c r="H181" s="91">
        <f t="shared" si="37"/>
        <v>313.07</v>
      </c>
      <c r="I181" s="91">
        <f t="shared" si="38"/>
        <v>1252.28</v>
      </c>
      <c r="K181" s="50">
        <f t="shared" si="36"/>
        <v>1252.28</v>
      </c>
    </row>
    <row r="182" spans="1:11" s="6" customFormat="1">
      <c r="A182" s="117" t="s">
        <v>480</v>
      </c>
      <c r="B182" s="82">
        <v>151131</v>
      </c>
      <c r="C182" s="90" t="s">
        <v>802</v>
      </c>
      <c r="D182" s="85" t="s">
        <v>630</v>
      </c>
      <c r="E182" s="82" t="s">
        <v>49</v>
      </c>
      <c r="F182" s="91">
        <v>30</v>
      </c>
      <c r="G182" s="91">
        <v>67.06</v>
      </c>
      <c r="H182" s="91">
        <f t="shared" si="37"/>
        <v>88.09</v>
      </c>
      <c r="I182" s="91">
        <f>H182*F182</f>
        <v>2642.7</v>
      </c>
      <c r="K182" s="50">
        <f t="shared" si="36"/>
        <v>2642.7</v>
      </c>
    </row>
    <row r="183" spans="1:11" s="6" customFormat="1">
      <c r="A183" s="117" t="s">
        <v>481</v>
      </c>
      <c r="B183" s="82">
        <v>150612</v>
      </c>
      <c r="C183" s="90" t="s">
        <v>803</v>
      </c>
      <c r="D183" s="85" t="s">
        <v>630</v>
      </c>
      <c r="E183" s="82" t="s">
        <v>340</v>
      </c>
      <c r="F183" s="91">
        <v>4</v>
      </c>
      <c r="G183" s="91">
        <v>42.1</v>
      </c>
      <c r="H183" s="91">
        <f t="shared" si="37"/>
        <v>55.3</v>
      </c>
      <c r="I183" s="91">
        <f>H183*F183</f>
        <v>221.2</v>
      </c>
      <c r="K183" s="50">
        <f t="shared" si="36"/>
        <v>221.2</v>
      </c>
    </row>
    <row r="184" spans="1:11" s="6" customFormat="1" ht="30">
      <c r="A184" s="117" t="s">
        <v>482</v>
      </c>
      <c r="B184" s="82">
        <v>101895</v>
      </c>
      <c r="C184" s="90" t="s">
        <v>804</v>
      </c>
      <c r="D184" s="82" t="s">
        <v>72</v>
      </c>
      <c r="E184" s="82" t="s">
        <v>340</v>
      </c>
      <c r="F184" s="91">
        <v>1</v>
      </c>
      <c r="G184" s="91">
        <v>432</v>
      </c>
      <c r="H184" s="91">
        <f t="shared" si="37"/>
        <v>567.48</v>
      </c>
      <c r="I184" s="91">
        <f t="shared" ref="I184:I189" si="39">H184*F184</f>
        <v>567.48</v>
      </c>
      <c r="K184" s="50">
        <f t="shared" si="36"/>
        <v>567.48</v>
      </c>
    </row>
    <row r="185" spans="1:11" s="6" customFormat="1" ht="30">
      <c r="A185" s="117" t="s">
        <v>483</v>
      </c>
      <c r="B185" s="82">
        <v>151311</v>
      </c>
      <c r="C185" s="90" t="s">
        <v>805</v>
      </c>
      <c r="D185" s="85" t="s">
        <v>630</v>
      </c>
      <c r="E185" s="82" t="s">
        <v>340</v>
      </c>
      <c r="F185" s="91">
        <v>2</v>
      </c>
      <c r="G185" s="91">
        <v>94.71</v>
      </c>
      <c r="H185" s="91">
        <f t="shared" si="37"/>
        <v>124.41</v>
      </c>
      <c r="I185" s="91">
        <f t="shared" si="39"/>
        <v>248.82</v>
      </c>
      <c r="K185" s="50">
        <f t="shared" si="36"/>
        <v>248.82</v>
      </c>
    </row>
    <row r="186" spans="1:11" s="6" customFormat="1" ht="30">
      <c r="A186" s="117" t="s">
        <v>484</v>
      </c>
      <c r="B186" s="82">
        <v>151301</v>
      </c>
      <c r="C186" s="90" t="s">
        <v>806</v>
      </c>
      <c r="D186" s="85" t="s">
        <v>630</v>
      </c>
      <c r="E186" s="82" t="s">
        <v>340</v>
      </c>
      <c r="F186" s="91">
        <v>10</v>
      </c>
      <c r="G186" s="91">
        <v>23.18</v>
      </c>
      <c r="H186" s="91">
        <f t="shared" si="37"/>
        <v>30.45</v>
      </c>
      <c r="I186" s="91">
        <f t="shared" si="39"/>
        <v>304.5</v>
      </c>
      <c r="K186" s="50">
        <f t="shared" si="36"/>
        <v>304.5</v>
      </c>
    </row>
    <row r="187" spans="1:11" s="6" customFormat="1" ht="30">
      <c r="A187" s="117" t="s">
        <v>485</v>
      </c>
      <c r="B187" s="82">
        <v>151302</v>
      </c>
      <c r="C187" s="90" t="s">
        <v>807</v>
      </c>
      <c r="D187" s="85" t="s">
        <v>630</v>
      </c>
      <c r="E187" s="82" t="s">
        <v>340</v>
      </c>
      <c r="F187" s="91">
        <v>9</v>
      </c>
      <c r="G187" s="91">
        <v>23.18</v>
      </c>
      <c r="H187" s="91">
        <f t="shared" si="37"/>
        <v>30.45</v>
      </c>
      <c r="I187" s="91">
        <f t="shared" si="39"/>
        <v>274.05</v>
      </c>
      <c r="K187" s="50">
        <f t="shared" si="36"/>
        <v>274.05</v>
      </c>
    </row>
    <row r="188" spans="1:11" s="6" customFormat="1" ht="30">
      <c r="A188" s="117" t="s">
        <v>486</v>
      </c>
      <c r="B188" s="82">
        <v>151303</v>
      </c>
      <c r="C188" s="90" t="s">
        <v>808</v>
      </c>
      <c r="D188" s="85" t="s">
        <v>630</v>
      </c>
      <c r="E188" s="82" t="s">
        <v>340</v>
      </c>
      <c r="F188" s="91">
        <v>2</v>
      </c>
      <c r="G188" s="91">
        <v>23.18</v>
      </c>
      <c r="H188" s="91">
        <f t="shared" si="37"/>
        <v>30.45</v>
      </c>
      <c r="I188" s="91">
        <f t="shared" si="39"/>
        <v>60.9</v>
      </c>
      <c r="K188" s="50">
        <f t="shared" si="36"/>
        <v>60.9</v>
      </c>
    </row>
    <row r="189" spans="1:11" s="6" customFormat="1" ht="30">
      <c r="A189" s="117" t="s">
        <v>487</v>
      </c>
      <c r="B189" s="82">
        <v>151305</v>
      </c>
      <c r="C189" s="90" t="s">
        <v>809</v>
      </c>
      <c r="D189" s="85" t="s">
        <v>630</v>
      </c>
      <c r="E189" s="82" t="s">
        <v>340</v>
      </c>
      <c r="F189" s="91">
        <v>2</v>
      </c>
      <c r="G189" s="91">
        <v>27.57</v>
      </c>
      <c r="H189" s="91">
        <f t="shared" si="37"/>
        <v>36.22</v>
      </c>
      <c r="I189" s="91">
        <f t="shared" si="39"/>
        <v>72.44</v>
      </c>
      <c r="K189" s="50">
        <f t="shared" si="36"/>
        <v>72.44</v>
      </c>
    </row>
    <row r="190" spans="1:11" s="6" customFormat="1" ht="30">
      <c r="A190" s="117" t="s">
        <v>488</v>
      </c>
      <c r="B190" s="82">
        <v>151307</v>
      </c>
      <c r="C190" s="90" t="s">
        <v>810</v>
      </c>
      <c r="D190" s="85" t="s">
        <v>630</v>
      </c>
      <c r="E190" s="82" t="s">
        <v>340</v>
      </c>
      <c r="F190" s="91">
        <v>10</v>
      </c>
      <c r="G190" s="91">
        <v>65.209999999999994</v>
      </c>
      <c r="H190" s="91">
        <f t="shared" si="37"/>
        <v>85.66</v>
      </c>
      <c r="I190" s="91">
        <f>H190*F190</f>
        <v>856.6</v>
      </c>
      <c r="K190" s="50">
        <f t="shared" si="36"/>
        <v>856.6</v>
      </c>
    </row>
    <row r="191" spans="1:11" s="6" customFormat="1" ht="30">
      <c r="A191" s="117" t="s">
        <v>489</v>
      </c>
      <c r="B191" s="82">
        <v>151321</v>
      </c>
      <c r="C191" s="90" t="s">
        <v>811</v>
      </c>
      <c r="D191" s="85" t="s">
        <v>630</v>
      </c>
      <c r="E191" s="82" t="s">
        <v>340</v>
      </c>
      <c r="F191" s="91">
        <v>6</v>
      </c>
      <c r="G191" s="91">
        <v>65.209999999999994</v>
      </c>
      <c r="H191" s="91">
        <f t="shared" si="37"/>
        <v>85.66</v>
      </c>
      <c r="I191" s="91">
        <f t="shared" ref="I191:I192" si="40">H191*F191</f>
        <v>513.96</v>
      </c>
      <c r="K191" s="50">
        <f t="shared" si="36"/>
        <v>513.96</v>
      </c>
    </row>
    <row r="192" spans="1:11" s="6" customFormat="1" ht="30">
      <c r="A192" s="117" t="s">
        <v>490</v>
      </c>
      <c r="B192" s="82">
        <v>151323</v>
      </c>
      <c r="C192" s="90" t="s">
        <v>812</v>
      </c>
      <c r="D192" s="85" t="s">
        <v>630</v>
      </c>
      <c r="E192" s="82" t="s">
        <v>340</v>
      </c>
      <c r="F192" s="91">
        <v>1</v>
      </c>
      <c r="G192" s="91">
        <v>69.989999999999995</v>
      </c>
      <c r="H192" s="91">
        <f t="shared" si="37"/>
        <v>91.94</v>
      </c>
      <c r="I192" s="91">
        <f t="shared" si="40"/>
        <v>91.94</v>
      </c>
      <c r="K192" s="50">
        <f t="shared" si="36"/>
        <v>91.94</v>
      </c>
    </row>
    <row r="193" spans="1:11" s="6" customFormat="1">
      <c r="A193" s="52" t="s">
        <v>249</v>
      </c>
      <c r="B193" s="311" t="s">
        <v>238</v>
      </c>
      <c r="C193" s="312"/>
      <c r="D193" s="312"/>
      <c r="E193" s="312"/>
      <c r="F193" s="312"/>
      <c r="G193" s="312"/>
      <c r="H193" s="312"/>
      <c r="I193" s="313"/>
      <c r="K193" s="50">
        <f t="shared" si="36"/>
        <v>0</v>
      </c>
    </row>
    <row r="194" spans="1:11" s="6" customFormat="1" ht="60">
      <c r="A194" s="82" t="s">
        <v>338</v>
      </c>
      <c r="B194" s="82">
        <v>180129</v>
      </c>
      <c r="C194" s="90" t="s">
        <v>271</v>
      </c>
      <c r="D194" s="85" t="s">
        <v>630</v>
      </c>
      <c r="E194" s="82" t="s">
        <v>340</v>
      </c>
      <c r="F194" s="91">
        <v>150</v>
      </c>
      <c r="G194" s="91">
        <f>120.48*1.8145</f>
        <v>218.61</v>
      </c>
      <c r="H194" s="91">
        <f>G194*1.3136</f>
        <v>287.17</v>
      </c>
      <c r="I194" s="91">
        <f t="shared" ref="I194:I200" si="41">H194*F194</f>
        <v>43075.5</v>
      </c>
      <c r="J194" s="126"/>
      <c r="K194" s="50">
        <f t="shared" si="36"/>
        <v>43075.5</v>
      </c>
    </row>
    <row r="195" spans="1:11" s="6" customFormat="1">
      <c r="A195" s="82" t="s">
        <v>397</v>
      </c>
      <c r="B195" s="82">
        <v>101666</v>
      </c>
      <c r="C195" s="88" t="s">
        <v>272</v>
      </c>
      <c r="D195" s="82" t="s">
        <v>72</v>
      </c>
      <c r="E195" s="82" t="s">
        <v>340</v>
      </c>
      <c r="F195" s="91">
        <v>10</v>
      </c>
      <c r="G195" s="91">
        <f>384.69*1.8145</f>
        <v>698.02</v>
      </c>
      <c r="H195" s="91">
        <f t="shared" ref="H195:H200" si="42">G195*1.3136</f>
        <v>916.92</v>
      </c>
      <c r="I195" s="91">
        <f t="shared" si="41"/>
        <v>9169.2000000000007</v>
      </c>
      <c r="K195" s="50">
        <f t="shared" si="36"/>
        <v>9169.2000000000007</v>
      </c>
    </row>
    <row r="196" spans="1:11" s="6" customFormat="1">
      <c r="A196" s="82" t="s">
        <v>341</v>
      </c>
      <c r="B196" s="97">
        <v>180110</v>
      </c>
      <c r="C196" s="90" t="s">
        <v>275</v>
      </c>
      <c r="D196" s="85" t="s">
        <v>630</v>
      </c>
      <c r="E196" s="82" t="s">
        <v>340</v>
      </c>
      <c r="F196" s="91">
        <v>2</v>
      </c>
      <c r="G196" s="91">
        <v>88.43</v>
      </c>
      <c r="H196" s="91">
        <f t="shared" si="42"/>
        <v>116.16</v>
      </c>
      <c r="I196" s="91">
        <f t="shared" si="41"/>
        <v>232.32</v>
      </c>
      <c r="K196" s="50">
        <f t="shared" si="36"/>
        <v>232.32</v>
      </c>
    </row>
    <row r="197" spans="1:11" s="6" customFormat="1">
      <c r="A197" s="82" t="s">
        <v>438</v>
      </c>
      <c r="B197" s="97">
        <v>180204</v>
      </c>
      <c r="C197" s="90" t="s">
        <v>276</v>
      </c>
      <c r="D197" s="85" t="s">
        <v>630</v>
      </c>
      <c r="E197" s="82" t="s">
        <v>340</v>
      </c>
      <c r="F197" s="91">
        <v>25</v>
      </c>
      <c r="G197" s="91">
        <v>31.57</v>
      </c>
      <c r="H197" s="91">
        <f t="shared" si="42"/>
        <v>41.47</v>
      </c>
      <c r="I197" s="91">
        <f t="shared" si="41"/>
        <v>1036.75</v>
      </c>
      <c r="K197" s="50">
        <f t="shared" si="36"/>
        <v>1036.75</v>
      </c>
    </row>
    <row r="198" spans="1:11" s="6" customFormat="1">
      <c r="A198" s="82" t="s">
        <v>439</v>
      </c>
      <c r="B198" s="97">
        <v>180205</v>
      </c>
      <c r="C198" s="90" t="s">
        <v>277</v>
      </c>
      <c r="D198" s="85" t="s">
        <v>630</v>
      </c>
      <c r="E198" s="82" t="s">
        <v>340</v>
      </c>
      <c r="F198" s="91">
        <v>2</v>
      </c>
      <c r="G198" s="91">
        <v>53.5</v>
      </c>
      <c r="H198" s="91">
        <f t="shared" si="42"/>
        <v>70.28</v>
      </c>
      <c r="I198" s="91">
        <f t="shared" si="41"/>
        <v>140.56</v>
      </c>
      <c r="K198" s="50">
        <f t="shared" si="36"/>
        <v>140.56</v>
      </c>
    </row>
    <row r="199" spans="1:11" s="6" customFormat="1">
      <c r="A199" s="82" t="s">
        <v>440</v>
      </c>
      <c r="B199" s="97">
        <v>180206</v>
      </c>
      <c r="C199" s="90" t="s">
        <v>278</v>
      </c>
      <c r="D199" s="85" t="s">
        <v>630</v>
      </c>
      <c r="E199" s="82" t="s">
        <v>340</v>
      </c>
      <c r="F199" s="91">
        <v>21</v>
      </c>
      <c r="G199" s="91">
        <v>38.78</v>
      </c>
      <c r="H199" s="91">
        <f t="shared" si="42"/>
        <v>50.94</v>
      </c>
      <c r="I199" s="91">
        <f t="shared" si="41"/>
        <v>1069.74</v>
      </c>
      <c r="K199" s="50">
        <f t="shared" si="36"/>
        <v>1069.74</v>
      </c>
    </row>
    <row r="200" spans="1:11" s="6" customFormat="1" ht="30">
      <c r="A200" s="82" t="s">
        <v>441</v>
      </c>
      <c r="B200" s="97">
        <v>180202</v>
      </c>
      <c r="C200" s="90" t="s">
        <v>813</v>
      </c>
      <c r="D200" s="85" t="s">
        <v>630</v>
      </c>
      <c r="E200" s="82" t="s">
        <v>340</v>
      </c>
      <c r="F200" s="91">
        <v>138</v>
      </c>
      <c r="G200" s="91">
        <v>42.56</v>
      </c>
      <c r="H200" s="91">
        <f t="shared" si="42"/>
        <v>55.91</v>
      </c>
      <c r="I200" s="91">
        <f t="shared" si="41"/>
        <v>7715.58</v>
      </c>
      <c r="K200" s="50">
        <f t="shared" si="36"/>
        <v>7715.58</v>
      </c>
    </row>
    <row r="201" spans="1:11" s="6" customFormat="1">
      <c r="A201" s="320" t="s">
        <v>248</v>
      </c>
      <c r="B201" s="320"/>
      <c r="C201" s="320"/>
      <c r="D201" s="320"/>
      <c r="E201" s="320"/>
      <c r="F201" s="320"/>
      <c r="G201" s="320"/>
      <c r="H201" s="320"/>
      <c r="I201" s="36">
        <f>SUM(I163:I200)</f>
        <v>235352.13</v>
      </c>
      <c r="K201" s="50">
        <f t="shared" si="36"/>
        <v>0</v>
      </c>
    </row>
    <row r="202" spans="1:11" s="6" customFormat="1">
      <c r="A202" s="309" t="s">
        <v>252</v>
      </c>
      <c r="B202" s="316" t="s">
        <v>240</v>
      </c>
      <c r="C202" s="317"/>
      <c r="D202" s="317"/>
      <c r="E202" s="317"/>
      <c r="F202" s="317"/>
      <c r="G202" s="317"/>
      <c r="H202" s="317"/>
      <c r="I202" s="319"/>
      <c r="K202" s="50">
        <f t="shared" si="36"/>
        <v>0</v>
      </c>
    </row>
    <row r="203" spans="1:11" s="6" customFormat="1">
      <c r="A203" s="20" t="s">
        <v>343</v>
      </c>
      <c r="B203" s="311" t="s">
        <v>241</v>
      </c>
      <c r="C203" s="312"/>
      <c r="D203" s="312"/>
      <c r="E203" s="312"/>
      <c r="F203" s="312"/>
      <c r="G203" s="312"/>
      <c r="H203" s="312"/>
      <c r="I203" s="313"/>
      <c r="K203" s="50">
        <f t="shared" si="36"/>
        <v>0</v>
      </c>
    </row>
    <row r="204" spans="1:11" s="6" customFormat="1" ht="30">
      <c r="A204" s="82" t="s">
        <v>442</v>
      </c>
      <c r="B204" s="82" t="s">
        <v>123</v>
      </c>
      <c r="C204" s="90" t="s">
        <v>118</v>
      </c>
      <c r="D204" s="82"/>
      <c r="E204" s="82" t="s">
        <v>185</v>
      </c>
      <c r="F204" s="91">
        <v>54</v>
      </c>
      <c r="G204" s="91">
        <v>388.62</v>
      </c>
      <c r="H204" s="91">
        <f>G204*1.3136</f>
        <v>510.49</v>
      </c>
      <c r="I204" s="91">
        <f>F204*H204</f>
        <v>27566.46</v>
      </c>
      <c r="J204" s="126"/>
      <c r="K204" s="50">
        <f t="shared" si="36"/>
        <v>27566.46</v>
      </c>
    </row>
    <row r="205" spans="1:11" s="6" customFormat="1">
      <c r="A205" s="82" t="s">
        <v>443</v>
      </c>
      <c r="B205" s="82" t="s">
        <v>865</v>
      </c>
      <c r="C205" s="88" t="s">
        <v>122</v>
      </c>
      <c r="D205" s="82"/>
      <c r="E205" s="82" t="s">
        <v>185</v>
      </c>
      <c r="F205" s="91">
        <v>15</v>
      </c>
      <c r="G205" s="91">
        <v>311.11</v>
      </c>
      <c r="H205" s="91">
        <f t="shared" ref="H205:H210" si="43">G205*1.3136</f>
        <v>408.67</v>
      </c>
      <c r="I205" s="91">
        <f t="shared" ref="I205:I210" si="44">F205*H205</f>
        <v>6130.05</v>
      </c>
      <c r="J205" s="126"/>
      <c r="K205" s="50">
        <f t="shared" si="36"/>
        <v>6130.05</v>
      </c>
    </row>
    <row r="206" spans="1:11" s="6" customFormat="1" ht="45">
      <c r="A206" s="82" t="s">
        <v>444</v>
      </c>
      <c r="B206" s="82">
        <v>160111</v>
      </c>
      <c r="C206" s="90" t="s">
        <v>124</v>
      </c>
      <c r="D206" s="85" t="s">
        <v>630</v>
      </c>
      <c r="E206" s="82" t="s">
        <v>340</v>
      </c>
      <c r="F206" s="91">
        <v>15</v>
      </c>
      <c r="G206" s="91">
        <v>1112.19</v>
      </c>
      <c r="H206" s="91">
        <f t="shared" si="43"/>
        <v>1460.97</v>
      </c>
      <c r="I206" s="91">
        <f t="shared" si="44"/>
        <v>21914.55</v>
      </c>
      <c r="K206" s="50">
        <f t="shared" si="36"/>
        <v>21914.55</v>
      </c>
    </row>
    <row r="207" spans="1:11" s="6" customFormat="1" ht="45">
      <c r="A207" s="82" t="s">
        <v>445</v>
      </c>
      <c r="B207" s="82">
        <v>100561</v>
      </c>
      <c r="C207" s="90" t="s">
        <v>814</v>
      </c>
      <c r="D207" s="82" t="s">
        <v>72</v>
      </c>
      <c r="E207" s="82" t="s">
        <v>340</v>
      </c>
      <c r="F207" s="91">
        <v>3</v>
      </c>
      <c r="G207" s="91">
        <v>201.08</v>
      </c>
      <c r="H207" s="91">
        <f t="shared" si="43"/>
        <v>264.14</v>
      </c>
      <c r="I207" s="91">
        <f t="shared" si="44"/>
        <v>792.42</v>
      </c>
      <c r="K207" s="50">
        <f t="shared" si="36"/>
        <v>792.42</v>
      </c>
    </row>
    <row r="208" spans="1:11" s="6" customFormat="1" ht="45">
      <c r="A208" s="82" t="s">
        <v>446</v>
      </c>
      <c r="B208" s="82">
        <v>101795</v>
      </c>
      <c r="C208" s="90" t="s">
        <v>815</v>
      </c>
      <c r="D208" s="82" t="s">
        <v>72</v>
      </c>
      <c r="E208" s="82" t="s">
        <v>340</v>
      </c>
      <c r="F208" s="91">
        <v>2</v>
      </c>
      <c r="G208" s="91">
        <v>624.77</v>
      </c>
      <c r="H208" s="91">
        <f t="shared" si="43"/>
        <v>820.7</v>
      </c>
      <c r="I208" s="91">
        <f t="shared" si="44"/>
        <v>1641.4</v>
      </c>
      <c r="K208" s="50">
        <f t="shared" si="36"/>
        <v>1641.4</v>
      </c>
    </row>
    <row r="209" spans="1:11" s="6" customFormat="1">
      <c r="A209" s="82" t="s">
        <v>447</v>
      </c>
      <c r="B209" s="82">
        <v>150612</v>
      </c>
      <c r="C209" s="90" t="s">
        <v>803</v>
      </c>
      <c r="D209" s="85" t="s">
        <v>630</v>
      </c>
      <c r="E209" s="82" t="s">
        <v>340</v>
      </c>
      <c r="F209" s="91">
        <v>17</v>
      </c>
      <c r="G209" s="91">
        <v>42.1</v>
      </c>
      <c r="H209" s="91">
        <f t="shared" si="43"/>
        <v>55.3</v>
      </c>
      <c r="I209" s="91">
        <f t="shared" si="44"/>
        <v>940.1</v>
      </c>
      <c r="K209" s="50">
        <f t="shared" si="36"/>
        <v>940.1</v>
      </c>
    </row>
    <row r="210" spans="1:11" s="6" customFormat="1">
      <c r="A210" s="82" t="s">
        <v>448</v>
      </c>
      <c r="B210" s="106">
        <v>151131</v>
      </c>
      <c r="C210" s="105" t="s">
        <v>802</v>
      </c>
      <c r="D210" s="85" t="s">
        <v>630</v>
      </c>
      <c r="E210" s="106" t="s">
        <v>49</v>
      </c>
      <c r="F210" s="112">
        <v>30</v>
      </c>
      <c r="G210" s="112">
        <v>67.06</v>
      </c>
      <c r="H210" s="91">
        <f t="shared" si="43"/>
        <v>88.09</v>
      </c>
      <c r="I210" s="91">
        <f t="shared" si="44"/>
        <v>2642.7</v>
      </c>
      <c r="K210" s="50">
        <f t="shared" si="36"/>
        <v>2642.7</v>
      </c>
    </row>
    <row r="211" spans="1:11" s="6" customFormat="1">
      <c r="A211" s="66" t="s">
        <v>346</v>
      </c>
      <c r="B211" s="358" t="s">
        <v>250</v>
      </c>
      <c r="C211" s="359"/>
      <c r="D211" s="81"/>
      <c r="E211" s="69"/>
      <c r="F211" s="122"/>
      <c r="G211" s="122"/>
      <c r="H211" s="122"/>
      <c r="I211" s="70"/>
      <c r="K211" s="50">
        <f t="shared" si="36"/>
        <v>0</v>
      </c>
    </row>
    <row r="212" spans="1:11" s="6" customFormat="1" ht="30">
      <c r="A212" s="42" t="s">
        <v>449</v>
      </c>
      <c r="B212" s="85">
        <v>160303</v>
      </c>
      <c r="C212" s="99" t="s">
        <v>339</v>
      </c>
      <c r="D212" s="85" t="s">
        <v>630</v>
      </c>
      <c r="E212" s="85" t="s">
        <v>340</v>
      </c>
      <c r="F212" s="118">
        <v>4</v>
      </c>
      <c r="G212" s="86">
        <v>464.01</v>
      </c>
      <c r="H212" s="86">
        <f>G212*1.3136</f>
        <v>609.52</v>
      </c>
      <c r="I212" s="118">
        <f>H212*F212</f>
        <v>2438.08</v>
      </c>
      <c r="K212" s="50">
        <f t="shared" si="36"/>
        <v>2438.08</v>
      </c>
    </row>
    <row r="213" spans="1:11" s="6" customFormat="1" ht="45">
      <c r="A213" s="42" t="s">
        <v>450</v>
      </c>
      <c r="B213" s="82">
        <v>160304</v>
      </c>
      <c r="C213" s="90" t="s">
        <v>294</v>
      </c>
      <c r="D213" s="85" t="s">
        <v>630</v>
      </c>
      <c r="E213" s="82" t="s">
        <v>340</v>
      </c>
      <c r="F213" s="91">
        <v>1</v>
      </c>
      <c r="G213" s="91">
        <v>879.02</v>
      </c>
      <c r="H213" s="86">
        <f t="shared" ref="H213:H214" si="45">G213*1.3136</f>
        <v>1154.68</v>
      </c>
      <c r="I213" s="118">
        <f t="shared" ref="I213:I214" si="46">H213*F213</f>
        <v>1154.68</v>
      </c>
      <c r="K213" s="50">
        <f t="shared" si="36"/>
        <v>1154.68</v>
      </c>
    </row>
    <row r="214" spans="1:11" s="6" customFormat="1" ht="30">
      <c r="A214" s="42" t="s">
        <v>451</v>
      </c>
      <c r="B214" s="106">
        <v>160305</v>
      </c>
      <c r="C214" s="105" t="s">
        <v>342</v>
      </c>
      <c r="D214" s="85" t="s">
        <v>630</v>
      </c>
      <c r="E214" s="106" t="s">
        <v>49</v>
      </c>
      <c r="F214" s="112">
        <v>97.96</v>
      </c>
      <c r="G214" s="112">
        <v>90.92</v>
      </c>
      <c r="H214" s="86">
        <f t="shared" si="45"/>
        <v>119.43</v>
      </c>
      <c r="I214" s="118">
        <f t="shared" si="46"/>
        <v>11699.36</v>
      </c>
      <c r="K214" s="50">
        <f t="shared" si="36"/>
        <v>11699.36</v>
      </c>
    </row>
    <row r="215" spans="1:11" s="6" customFormat="1">
      <c r="A215" s="66" t="s">
        <v>492</v>
      </c>
      <c r="B215" s="79" t="s">
        <v>251</v>
      </c>
      <c r="C215" s="80"/>
      <c r="D215" s="80"/>
      <c r="E215" s="69"/>
      <c r="F215" s="122"/>
      <c r="G215" s="122"/>
      <c r="H215" s="122"/>
      <c r="I215" s="70"/>
      <c r="K215" s="50">
        <f t="shared" si="36"/>
        <v>0</v>
      </c>
    </row>
    <row r="216" spans="1:11" s="6" customFormat="1" ht="30">
      <c r="A216" s="42" t="s">
        <v>493</v>
      </c>
      <c r="B216" s="85">
        <v>160612</v>
      </c>
      <c r="C216" s="95" t="s">
        <v>287</v>
      </c>
      <c r="D216" s="85" t="s">
        <v>630</v>
      </c>
      <c r="E216" s="85" t="s">
        <v>340</v>
      </c>
      <c r="F216" s="86">
        <v>39</v>
      </c>
      <c r="G216" s="86">
        <v>26.9</v>
      </c>
      <c r="H216" s="86">
        <f>G216*1.3136</f>
        <v>35.340000000000003</v>
      </c>
      <c r="I216" s="86">
        <f>H216*F216</f>
        <v>1378.26</v>
      </c>
      <c r="K216" s="50">
        <f t="shared" si="36"/>
        <v>1378.26</v>
      </c>
    </row>
    <row r="217" spans="1:11" s="6" customFormat="1" ht="45">
      <c r="A217" s="42" t="s">
        <v>494</v>
      </c>
      <c r="B217" s="82">
        <v>160604</v>
      </c>
      <c r="C217" s="96" t="s">
        <v>816</v>
      </c>
      <c r="D217" s="85" t="s">
        <v>630</v>
      </c>
      <c r="E217" s="82" t="s">
        <v>340</v>
      </c>
      <c r="F217" s="123">
        <v>6</v>
      </c>
      <c r="G217" s="91">
        <v>249.45</v>
      </c>
      <c r="H217" s="86">
        <f t="shared" ref="H217:H219" si="47">G217*1.3136</f>
        <v>327.68</v>
      </c>
      <c r="I217" s="86">
        <f t="shared" ref="I217:I219" si="48">H217*F217</f>
        <v>1966.08</v>
      </c>
      <c r="K217" s="50">
        <f t="shared" si="36"/>
        <v>1966.08</v>
      </c>
    </row>
    <row r="218" spans="1:11" s="6" customFormat="1" ht="45">
      <c r="A218" s="42" t="s">
        <v>495</v>
      </c>
      <c r="B218" s="82">
        <v>160606</v>
      </c>
      <c r="C218" s="96" t="s">
        <v>817</v>
      </c>
      <c r="D218" s="85" t="s">
        <v>630</v>
      </c>
      <c r="E218" s="82" t="s">
        <v>340</v>
      </c>
      <c r="F218" s="123">
        <v>1</v>
      </c>
      <c r="G218" s="91">
        <v>785.94</v>
      </c>
      <c r="H218" s="86">
        <f t="shared" si="47"/>
        <v>1032.4100000000001</v>
      </c>
      <c r="I218" s="86">
        <f t="shared" si="48"/>
        <v>1032.4100000000001</v>
      </c>
      <c r="K218" s="50">
        <f t="shared" ref="K218:K251" si="49">H218*F218</f>
        <v>1032.4100000000001</v>
      </c>
    </row>
    <row r="219" spans="1:11" s="6" customFormat="1" ht="69.75" customHeight="1">
      <c r="A219" s="42" t="s">
        <v>496</v>
      </c>
      <c r="B219" s="82">
        <v>160605</v>
      </c>
      <c r="C219" s="96" t="s">
        <v>818</v>
      </c>
      <c r="D219" s="85" t="s">
        <v>630</v>
      </c>
      <c r="E219" s="82" t="s">
        <v>340</v>
      </c>
      <c r="F219" s="123">
        <v>5</v>
      </c>
      <c r="G219" s="91">
        <v>235.11</v>
      </c>
      <c r="H219" s="86">
        <f t="shared" si="47"/>
        <v>308.83999999999997</v>
      </c>
      <c r="I219" s="86">
        <f t="shared" si="48"/>
        <v>1544.2</v>
      </c>
      <c r="K219" s="50">
        <f t="shared" si="49"/>
        <v>1544.2</v>
      </c>
    </row>
    <row r="220" spans="1:11" s="6" customFormat="1">
      <c r="A220" s="320" t="s">
        <v>348</v>
      </c>
      <c r="B220" s="320"/>
      <c r="C220" s="320"/>
      <c r="D220" s="320"/>
      <c r="E220" s="320"/>
      <c r="F220" s="320"/>
      <c r="G220" s="320"/>
      <c r="H220" s="320"/>
      <c r="I220" s="36">
        <f>SUM(I204:I219)</f>
        <v>82840.75</v>
      </c>
      <c r="K220" s="50">
        <f t="shared" si="49"/>
        <v>0</v>
      </c>
    </row>
    <row r="221" spans="1:11" s="6" customFormat="1">
      <c r="A221" s="309" t="s">
        <v>452</v>
      </c>
      <c r="B221" s="338" t="s">
        <v>253</v>
      </c>
      <c r="C221" s="339"/>
      <c r="D221" s="339"/>
      <c r="E221" s="339"/>
      <c r="F221" s="339"/>
      <c r="G221" s="339"/>
      <c r="H221" s="339"/>
      <c r="I221" s="347"/>
      <c r="K221" s="50">
        <f t="shared" si="49"/>
        <v>0</v>
      </c>
    </row>
    <row r="222" spans="1:11" s="6" customFormat="1" ht="30">
      <c r="A222" s="82" t="s">
        <v>254</v>
      </c>
      <c r="B222" s="82">
        <v>160708</v>
      </c>
      <c r="C222" s="90" t="s">
        <v>344</v>
      </c>
      <c r="D222" s="85" t="s">
        <v>630</v>
      </c>
      <c r="E222" s="82" t="s">
        <v>35</v>
      </c>
      <c r="F222" s="91">
        <v>1494.36</v>
      </c>
      <c r="G222" s="91">
        <v>27.6</v>
      </c>
      <c r="H222" s="91">
        <f>G222*1.3136</f>
        <v>36.26</v>
      </c>
      <c r="I222" s="91">
        <f>F222*H222</f>
        <v>54185.49</v>
      </c>
      <c r="K222" s="50">
        <f t="shared" si="49"/>
        <v>54185.49</v>
      </c>
    </row>
    <row r="223" spans="1:11" s="6" customFormat="1" ht="70.5" customHeight="1">
      <c r="A223" s="82" t="s">
        <v>295</v>
      </c>
      <c r="B223" s="82">
        <v>190105</v>
      </c>
      <c r="C223" s="90" t="s">
        <v>819</v>
      </c>
      <c r="D223" s="85" t="s">
        <v>630</v>
      </c>
      <c r="E223" s="82" t="s">
        <v>35</v>
      </c>
      <c r="F223" s="91">
        <v>6.51</v>
      </c>
      <c r="G223" s="91">
        <v>32.69</v>
      </c>
      <c r="H223" s="91">
        <f>G223*1.3136</f>
        <v>42.94</v>
      </c>
      <c r="I223" s="91">
        <f>F223*H223</f>
        <v>279.54000000000002</v>
      </c>
      <c r="K223" s="50">
        <f t="shared" si="49"/>
        <v>279.54000000000002</v>
      </c>
    </row>
    <row r="224" spans="1:11" s="6" customFormat="1">
      <c r="A224" s="320" t="s">
        <v>543</v>
      </c>
      <c r="B224" s="320"/>
      <c r="C224" s="320"/>
      <c r="D224" s="320"/>
      <c r="E224" s="320"/>
      <c r="F224" s="320"/>
      <c r="G224" s="320"/>
      <c r="H224" s="320"/>
      <c r="I224" s="36">
        <f>SUM(I222:I223)</f>
        <v>54465.03</v>
      </c>
      <c r="K224" s="50">
        <f t="shared" si="49"/>
        <v>0</v>
      </c>
    </row>
    <row r="225" spans="1:11" s="6" customFormat="1">
      <c r="A225" s="309" t="s">
        <v>497</v>
      </c>
      <c r="B225" s="316" t="s">
        <v>224</v>
      </c>
      <c r="C225" s="317"/>
      <c r="D225" s="317"/>
      <c r="E225" s="317"/>
      <c r="F225" s="317"/>
      <c r="G225" s="317"/>
      <c r="H225" s="317"/>
      <c r="I225" s="319"/>
      <c r="K225" s="50">
        <f t="shared" si="49"/>
        <v>0</v>
      </c>
    </row>
    <row r="226" spans="1:11" s="6" customFormat="1">
      <c r="A226" s="78" t="s">
        <v>255</v>
      </c>
      <c r="B226" s="311" t="s">
        <v>225</v>
      </c>
      <c r="C226" s="312"/>
      <c r="D226" s="312"/>
      <c r="E226" s="312"/>
      <c r="F226" s="312"/>
      <c r="G226" s="312"/>
      <c r="H226" s="312"/>
      <c r="I226" s="313"/>
      <c r="K226" s="50">
        <f t="shared" si="49"/>
        <v>0</v>
      </c>
    </row>
    <row r="227" spans="1:11">
      <c r="A227" s="82" t="s">
        <v>298</v>
      </c>
      <c r="B227" s="82">
        <v>170220</v>
      </c>
      <c r="C227" s="88" t="s">
        <v>195</v>
      </c>
      <c r="D227" s="85" t="s">
        <v>630</v>
      </c>
      <c r="E227" s="82" t="s">
        <v>35</v>
      </c>
      <c r="F227" s="91">
        <f>7.05</f>
        <v>7.05</v>
      </c>
      <c r="G227" s="91">
        <v>397.13</v>
      </c>
      <c r="H227" s="91">
        <f>G227*1.3136</f>
        <v>521.66999999999996</v>
      </c>
      <c r="I227" s="91">
        <f>F227*H227</f>
        <v>3677.77</v>
      </c>
      <c r="K227" s="50">
        <f t="shared" si="49"/>
        <v>3677.77</v>
      </c>
    </row>
    <row r="228" spans="1:11" s="6" customFormat="1" ht="45">
      <c r="A228" s="82" t="s">
        <v>299</v>
      </c>
      <c r="B228" s="82">
        <v>200501</v>
      </c>
      <c r="C228" s="90" t="s">
        <v>286</v>
      </c>
      <c r="D228" s="85" t="s">
        <v>630</v>
      </c>
      <c r="E228" s="82" t="s">
        <v>340</v>
      </c>
      <c r="F228" s="91">
        <v>1</v>
      </c>
      <c r="G228" s="91">
        <f>6157.57*1.8145</f>
        <v>11172.91</v>
      </c>
      <c r="H228" s="91">
        <f>G228*1.3136</f>
        <v>14676.73</v>
      </c>
      <c r="I228" s="91">
        <f>F228*H228</f>
        <v>14676.73</v>
      </c>
      <c r="J228" s="126"/>
      <c r="K228" s="50">
        <f t="shared" si="49"/>
        <v>14676.73</v>
      </c>
    </row>
    <row r="229" spans="1:11" s="6" customFormat="1">
      <c r="A229" s="52" t="s">
        <v>256</v>
      </c>
      <c r="B229" s="321" t="s">
        <v>296</v>
      </c>
      <c r="C229" s="322"/>
      <c r="D229" s="322"/>
      <c r="E229" s="322"/>
      <c r="F229" s="322"/>
      <c r="G229" s="322"/>
      <c r="H229" s="322"/>
      <c r="I229" s="323"/>
      <c r="K229" s="50">
        <f t="shared" si="49"/>
        <v>0</v>
      </c>
    </row>
    <row r="230" spans="1:11" s="6" customFormat="1" ht="45">
      <c r="A230" s="82" t="s">
        <v>300</v>
      </c>
      <c r="B230" s="82">
        <v>200513</v>
      </c>
      <c r="C230" s="90" t="s">
        <v>285</v>
      </c>
      <c r="D230" s="85" t="s">
        <v>630</v>
      </c>
      <c r="E230" s="82" t="s">
        <v>340</v>
      </c>
      <c r="F230" s="91">
        <v>2</v>
      </c>
      <c r="G230" s="91">
        <v>1901.6</v>
      </c>
      <c r="H230" s="91">
        <f>G230*1.3136</f>
        <v>2497.94</v>
      </c>
      <c r="I230" s="91">
        <f>F230*H230</f>
        <v>4995.88</v>
      </c>
      <c r="K230" s="50">
        <f t="shared" si="49"/>
        <v>4995.88</v>
      </c>
    </row>
    <row r="231" spans="1:11" s="6" customFormat="1" ht="30">
      <c r="A231" s="82" t="s">
        <v>350</v>
      </c>
      <c r="B231" s="65">
        <v>170603</v>
      </c>
      <c r="C231" s="119" t="s">
        <v>708</v>
      </c>
      <c r="D231" s="85" t="s">
        <v>630</v>
      </c>
      <c r="E231" s="82" t="s">
        <v>340</v>
      </c>
      <c r="F231" s="91">
        <f>4+4</f>
        <v>8</v>
      </c>
      <c r="G231" s="91">
        <v>182.29</v>
      </c>
      <c r="H231" s="91">
        <f t="shared" ref="H231:H234" si="50">G231*1.3136</f>
        <v>239.46</v>
      </c>
      <c r="I231" s="91">
        <f t="shared" ref="I231:I234" si="51">F231*H231</f>
        <v>1915.68</v>
      </c>
      <c r="K231" s="50">
        <f t="shared" si="49"/>
        <v>1915.68</v>
      </c>
    </row>
    <row r="232" spans="1:11" s="6" customFormat="1" ht="30">
      <c r="A232" s="82" t="s">
        <v>351</v>
      </c>
      <c r="B232" s="82">
        <v>210301</v>
      </c>
      <c r="C232" s="96" t="s">
        <v>326</v>
      </c>
      <c r="D232" s="85" t="s">
        <v>630</v>
      </c>
      <c r="E232" s="82" t="s">
        <v>49</v>
      </c>
      <c r="F232" s="91">
        <v>108.83</v>
      </c>
      <c r="G232" s="91">
        <v>421.41</v>
      </c>
      <c r="H232" s="91">
        <f t="shared" si="50"/>
        <v>553.55999999999995</v>
      </c>
      <c r="I232" s="91">
        <f t="shared" si="51"/>
        <v>60243.93</v>
      </c>
      <c r="K232" s="50">
        <f t="shared" si="49"/>
        <v>60243.93</v>
      </c>
    </row>
    <row r="233" spans="1:11" s="6" customFormat="1" ht="30">
      <c r="A233" s="82" t="s">
        <v>352</v>
      </c>
      <c r="B233" s="82">
        <v>210322</v>
      </c>
      <c r="C233" s="96" t="s">
        <v>711</v>
      </c>
      <c r="D233" s="85" t="s">
        <v>630</v>
      </c>
      <c r="E233" s="65" t="s">
        <v>49</v>
      </c>
      <c r="F233" s="91">
        <f>117.25</f>
        <v>117.25</v>
      </c>
      <c r="G233" s="91">
        <v>167.21</v>
      </c>
      <c r="H233" s="91">
        <f t="shared" si="50"/>
        <v>219.65</v>
      </c>
      <c r="I233" s="91">
        <f t="shared" ref="I233" si="52">F233*H233</f>
        <v>25753.96</v>
      </c>
      <c r="K233" s="50">
        <f t="shared" ref="K233" si="53">H233*F233</f>
        <v>25753.96</v>
      </c>
    </row>
    <row r="234" spans="1:11" s="6" customFormat="1" ht="28.5" customHeight="1">
      <c r="A234" s="82" t="s">
        <v>353</v>
      </c>
      <c r="B234" s="82">
        <v>200401</v>
      </c>
      <c r="C234" s="96" t="s">
        <v>705</v>
      </c>
      <c r="D234" s="85" t="s">
        <v>630</v>
      </c>
      <c r="E234" s="82" t="s">
        <v>35</v>
      </c>
      <c r="F234" s="91">
        <f>1573.7</f>
        <v>1573.7</v>
      </c>
      <c r="G234" s="91">
        <v>12.51</v>
      </c>
      <c r="H234" s="91">
        <f t="shared" si="50"/>
        <v>16.43</v>
      </c>
      <c r="I234" s="91">
        <f t="shared" si="51"/>
        <v>25855.89</v>
      </c>
      <c r="K234" s="50">
        <f t="shared" si="49"/>
        <v>25855.89</v>
      </c>
    </row>
    <row r="235" spans="1:11">
      <c r="A235" s="20" t="s">
        <v>498</v>
      </c>
      <c r="B235" s="311" t="s">
        <v>43</v>
      </c>
      <c r="C235" s="312"/>
      <c r="D235" s="312"/>
      <c r="E235" s="312"/>
      <c r="F235" s="312"/>
      <c r="G235" s="312"/>
      <c r="H235" s="312"/>
      <c r="I235" s="313"/>
      <c r="K235" s="50">
        <f t="shared" si="49"/>
        <v>0</v>
      </c>
    </row>
    <row r="236" spans="1:11" ht="60.75" customHeight="1">
      <c r="A236" s="82" t="s">
        <v>499</v>
      </c>
      <c r="B236" s="87" t="s">
        <v>45</v>
      </c>
      <c r="C236" s="90" t="s">
        <v>820</v>
      </c>
      <c r="D236" s="85" t="s">
        <v>630</v>
      </c>
      <c r="E236" s="82" t="s">
        <v>35</v>
      </c>
      <c r="F236" s="91">
        <f>351.73+63.7+30.52</f>
        <v>445.95</v>
      </c>
      <c r="G236" s="91">
        <v>108.59</v>
      </c>
      <c r="H236" s="91">
        <f>G236*1.3136</f>
        <v>142.63999999999999</v>
      </c>
      <c r="I236" s="91">
        <f>F236*H236</f>
        <v>63610.31</v>
      </c>
      <c r="K236" s="50">
        <f t="shared" si="49"/>
        <v>63610.31</v>
      </c>
    </row>
    <row r="237" spans="1:11" s="5" customFormat="1" ht="39.75" customHeight="1">
      <c r="A237" s="82" t="s">
        <v>500</v>
      </c>
      <c r="B237" s="87" t="s">
        <v>48</v>
      </c>
      <c r="C237" s="90" t="s">
        <v>400</v>
      </c>
      <c r="D237" s="85" t="s">
        <v>630</v>
      </c>
      <c r="E237" s="82" t="s">
        <v>49</v>
      </c>
      <c r="F237" s="91">
        <f>326.26</f>
        <v>326.26</v>
      </c>
      <c r="G237" s="91">
        <v>66.989999999999995</v>
      </c>
      <c r="H237" s="91">
        <f t="shared" ref="H237:H240" si="54">G237*1.3136</f>
        <v>88</v>
      </c>
      <c r="I237" s="91">
        <f t="shared" ref="I237:I240" si="55">F237*H237</f>
        <v>28710.880000000001</v>
      </c>
      <c r="K237" s="50">
        <f t="shared" si="49"/>
        <v>28710.880000000001</v>
      </c>
    </row>
    <row r="238" spans="1:11" s="6" customFormat="1" ht="42.75" customHeight="1">
      <c r="A238" s="82" t="s">
        <v>501</v>
      </c>
      <c r="B238" s="82">
        <v>41240</v>
      </c>
      <c r="C238" s="90" t="s">
        <v>283</v>
      </c>
      <c r="D238" s="97" t="s">
        <v>642</v>
      </c>
      <c r="E238" s="82" t="s">
        <v>35</v>
      </c>
      <c r="F238" s="91">
        <v>365.35</v>
      </c>
      <c r="G238" s="91">
        <v>121.29</v>
      </c>
      <c r="H238" s="91">
        <f t="shared" si="54"/>
        <v>159.33000000000001</v>
      </c>
      <c r="I238" s="91">
        <f t="shared" si="55"/>
        <v>58211.22</v>
      </c>
      <c r="K238" s="50">
        <f t="shared" si="49"/>
        <v>58211.22</v>
      </c>
    </row>
    <row r="239" spans="1:11" s="6" customFormat="1" ht="54" customHeight="1">
      <c r="A239" s="82" t="s">
        <v>502</v>
      </c>
      <c r="B239" s="82">
        <v>200563</v>
      </c>
      <c r="C239" s="90" t="s">
        <v>284</v>
      </c>
      <c r="D239" s="85" t="s">
        <v>630</v>
      </c>
      <c r="E239" s="82" t="s">
        <v>49</v>
      </c>
      <c r="F239" s="91">
        <v>13.6</v>
      </c>
      <c r="G239" s="91">
        <v>169.52</v>
      </c>
      <c r="H239" s="91">
        <f t="shared" si="54"/>
        <v>222.68</v>
      </c>
      <c r="I239" s="91">
        <f t="shared" si="55"/>
        <v>3028.45</v>
      </c>
      <c r="K239" s="50">
        <f t="shared" si="49"/>
        <v>3028.45</v>
      </c>
    </row>
    <row r="240" spans="1:11" s="6" customFormat="1" ht="63.75" customHeight="1">
      <c r="A240" s="82" t="s">
        <v>519</v>
      </c>
      <c r="B240" s="65">
        <v>200124</v>
      </c>
      <c r="C240" s="120" t="s">
        <v>520</v>
      </c>
      <c r="D240" s="85" t="s">
        <v>630</v>
      </c>
      <c r="E240" s="82" t="s">
        <v>49</v>
      </c>
      <c r="F240" s="91">
        <v>166.13</v>
      </c>
      <c r="G240" s="124">
        <v>963.39</v>
      </c>
      <c r="H240" s="91">
        <f t="shared" si="54"/>
        <v>1265.51</v>
      </c>
      <c r="I240" s="91">
        <f t="shared" si="55"/>
        <v>210239.18</v>
      </c>
      <c r="K240" s="50">
        <f t="shared" si="49"/>
        <v>210239.18</v>
      </c>
    </row>
    <row r="241" spans="1:11" s="6" customFormat="1">
      <c r="A241" s="20" t="s">
        <v>503</v>
      </c>
      <c r="B241" s="311" t="s">
        <v>297</v>
      </c>
      <c r="C241" s="312"/>
      <c r="D241" s="312"/>
      <c r="E241" s="312"/>
      <c r="F241" s="312"/>
      <c r="G241" s="312"/>
      <c r="H241" s="312"/>
      <c r="I241" s="313"/>
      <c r="K241" s="50">
        <f t="shared" si="49"/>
        <v>0</v>
      </c>
    </row>
    <row r="242" spans="1:11" s="6" customFormat="1" ht="30">
      <c r="A242" s="82" t="s">
        <v>504</v>
      </c>
      <c r="B242" s="82">
        <v>200326</v>
      </c>
      <c r="C242" s="90" t="s">
        <v>280</v>
      </c>
      <c r="D242" s="85" t="s">
        <v>630</v>
      </c>
      <c r="E242" s="82" t="s">
        <v>35</v>
      </c>
      <c r="F242" s="91">
        <v>226.8</v>
      </c>
      <c r="G242" s="91">
        <v>32.020000000000003</v>
      </c>
      <c r="H242" s="91">
        <f>G242*1.3136</f>
        <v>42.06</v>
      </c>
      <c r="I242" s="91">
        <f>F242*H242</f>
        <v>9539.2099999999991</v>
      </c>
      <c r="K242" s="50">
        <f t="shared" si="49"/>
        <v>9539.2099999999991</v>
      </c>
    </row>
    <row r="243" spans="1:11" s="6" customFormat="1">
      <c r="A243" s="82" t="s">
        <v>505</v>
      </c>
      <c r="B243" s="82" t="s">
        <v>402</v>
      </c>
      <c r="C243" s="90" t="s">
        <v>403</v>
      </c>
      <c r="D243" s="82" t="s">
        <v>402</v>
      </c>
      <c r="E243" s="82" t="s">
        <v>340</v>
      </c>
      <c r="F243" s="91">
        <v>2150</v>
      </c>
      <c r="G243" s="91">
        <f>(3.37)*1.8145</f>
        <v>6.11</v>
      </c>
      <c r="H243" s="91">
        <f t="shared" ref="H243:H250" si="56">G243*1.3136</f>
        <v>8.0299999999999994</v>
      </c>
      <c r="I243" s="91">
        <f t="shared" ref="I243:I250" si="57">F243*H243</f>
        <v>17264.5</v>
      </c>
      <c r="K243" s="50">
        <f t="shared" si="49"/>
        <v>17264.5</v>
      </c>
    </row>
    <row r="244" spans="1:11" s="6" customFormat="1">
      <c r="A244" s="82" t="s">
        <v>506</v>
      </c>
      <c r="B244" s="82" t="s">
        <v>402</v>
      </c>
      <c r="C244" s="90" t="s">
        <v>404</v>
      </c>
      <c r="D244" s="82" t="s">
        <v>402</v>
      </c>
      <c r="E244" s="82" t="s">
        <v>340</v>
      </c>
      <c r="F244" s="91">
        <v>3</v>
      </c>
      <c r="G244" s="91">
        <f>(136.15)*1.8145</f>
        <v>247.04</v>
      </c>
      <c r="H244" s="91">
        <f t="shared" si="56"/>
        <v>324.51</v>
      </c>
      <c r="I244" s="91">
        <f t="shared" si="57"/>
        <v>973.53</v>
      </c>
      <c r="K244" s="50">
        <f t="shared" si="49"/>
        <v>973.53</v>
      </c>
    </row>
    <row r="245" spans="1:11" s="6" customFormat="1">
      <c r="A245" s="82" t="s">
        <v>507</v>
      </c>
      <c r="B245" s="82" t="s">
        <v>402</v>
      </c>
      <c r="C245" s="90" t="s">
        <v>303</v>
      </c>
      <c r="D245" s="82" t="s">
        <v>402</v>
      </c>
      <c r="E245" s="82" t="s">
        <v>340</v>
      </c>
      <c r="F245" s="91">
        <v>2</v>
      </c>
      <c r="G245" s="91">
        <f>(15.76)*1.8145</f>
        <v>28.6</v>
      </c>
      <c r="H245" s="91">
        <f t="shared" si="56"/>
        <v>37.57</v>
      </c>
      <c r="I245" s="91">
        <f t="shared" si="57"/>
        <v>75.14</v>
      </c>
      <c r="K245" s="50">
        <f t="shared" si="49"/>
        <v>75.14</v>
      </c>
    </row>
    <row r="246" spans="1:11" s="6" customFormat="1">
      <c r="A246" s="82" t="s">
        <v>508</v>
      </c>
      <c r="B246" s="82" t="s">
        <v>402</v>
      </c>
      <c r="C246" s="90" t="s">
        <v>304</v>
      </c>
      <c r="D246" s="82" t="s">
        <v>402</v>
      </c>
      <c r="E246" s="82" t="s">
        <v>340</v>
      </c>
      <c r="F246" s="91">
        <v>5</v>
      </c>
      <c r="G246" s="91">
        <f>(105.51)*1.8145</f>
        <v>191.45</v>
      </c>
      <c r="H246" s="91">
        <f t="shared" si="56"/>
        <v>251.49</v>
      </c>
      <c r="I246" s="91">
        <f t="shared" si="57"/>
        <v>1257.45</v>
      </c>
      <c r="K246" s="50">
        <f t="shared" si="49"/>
        <v>1257.45</v>
      </c>
    </row>
    <row r="247" spans="1:11" s="6" customFormat="1">
      <c r="A247" s="82" t="s">
        <v>509</v>
      </c>
      <c r="B247" s="82" t="s">
        <v>402</v>
      </c>
      <c r="C247" s="90" t="s">
        <v>405</v>
      </c>
      <c r="D247" s="82" t="s">
        <v>402</v>
      </c>
      <c r="E247" s="82" t="s">
        <v>340</v>
      </c>
      <c r="F247" s="91">
        <v>3</v>
      </c>
      <c r="G247" s="91">
        <f>(89.31)*1.8145</f>
        <v>162.05000000000001</v>
      </c>
      <c r="H247" s="91">
        <f t="shared" si="56"/>
        <v>212.87</v>
      </c>
      <c r="I247" s="91">
        <f t="shared" si="57"/>
        <v>638.61</v>
      </c>
      <c r="K247" s="50">
        <f t="shared" si="49"/>
        <v>638.61</v>
      </c>
    </row>
    <row r="248" spans="1:11" s="6" customFormat="1">
      <c r="A248" s="82" t="s">
        <v>510</v>
      </c>
      <c r="B248" s="82" t="s">
        <v>402</v>
      </c>
      <c r="C248" s="90" t="s">
        <v>306</v>
      </c>
      <c r="D248" s="82" t="s">
        <v>402</v>
      </c>
      <c r="E248" s="82" t="s">
        <v>35</v>
      </c>
      <c r="F248" s="91">
        <v>3.15</v>
      </c>
      <c r="G248" s="91">
        <f>(22.83)*1.8145</f>
        <v>41.43</v>
      </c>
      <c r="H248" s="91">
        <f t="shared" si="56"/>
        <v>54.42</v>
      </c>
      <c r="I248" s="91">
        <f t="shared" si="57"/>
        <v>171.42</v>
      </c>
      <c r="K248" s="50">
        <f t="shared" si="49"/>
        <v>171.42</v>
      </c>
    </row>
    <row r="249" spans="1:11" s="6" customFormat="1">
      <c r="A249" s="82" t="s">
        <v>511</v>
      </c>
      <c r="B249" s="82" t="s">
        <v>402</v>
      </c>
      <c r="C249" s="90" t="s">
        <v>307</v>
      </c>
      <c r="D249" s="82" t="s">
        <v>402</v>
      </c>
      <c r="E249" s="82" t="s">
        <v>35</v>
      </c>
      <c r="F249" s="91">
        <v>3.15</v>
      </c>
      <c r="G249" s="91">
        <f>(22.83)*1.8145</f>
        <v>41.43</v>
      </c>
      <c r="H249" s="91">
        <f t="shared" si="56"/>
        <v>54.42</v>
      </c>
      <c r="I249" s="91">
        <f t="shared" si="57"/>
        <v>171.42</v>
      </c>
      <c r="K249" s="50">
        <f t="shared" si="49"/>
        <v>171.42</v>
      </c>
    </row>
    <row r="250" spans="1:11" s="6" customFormat="1">
      <c r="A250" s="82" t="s">
        <v>512</v>
      </c>
      <c r="B250" s="82" t="s">
        <v>402</v>
      </c>
      <c r="C250" s="90" t="s">
        <v>308</v>
      </c>
      <c r="D250" s="82" t="s">
        <v>402</v>
      </c>
      <c r="E250" s="82" t="s">
        <v>35</v>
      </c>
      <c r="F250" s="91">
        <v>7.2</v>
      </c>
      <c r="G250" s="91">
        <f>(12.76)*1.8145</f>
        <v>23.15</v>
      </c>
      <c r="H250" s="91">
        <f t="shared" si="56"/>
        <v>30.41</v>
      </c>
      <c r="I250" s="91">
        <f t="shared" si="57"/>
        <v>218.95</v>
      </c>
      <c r="K250" s="50">
        <f t="shared" si="49"/>
        <v>218.95</v>
      </c>
    </row>
    <row r="251" spans="1:11">
      <c r="A251" s="320" t="s">
        <v>257</v>
      </c>
      <c r="B251" s="320"/>
      <c r="C251" s="320"/>
      <c r="D251" s="320"/>
      <c r="E251" s="320"/>
      <c r="F251" s="320"/>
      <c r="G251" s="320"/>
      <c r="H251" s="320"/>
      <c r="I251" s="36">
        <f>SUM(I227:I250)</f>
        <v>531230.11</v>
      </c>
      <c r="K251" s="50">
        <f t="shared" si="49"/>
        <v>0</v>
      </c>
    </row>
    <row r="252" spans="1:11" s="6" customFormat="1">
      <c r="A252" s="309" t="s">
        <v>866</v>
      </c>
      <c r="B252" s="316" t="s">
        <v>867</v>
      </c>
      <c r="C252" s="317"/>
      <c r="D252" s="317"/>
      <c r="E252" s="317"/>
      <c r="F252" s="317"/>
      <c r="G252" s="317"/>
      <c r="H252" s="317"/>
      <c r="I252" s="319"/>
      <c r="K252" s="50">
        <f t="shared" ref="K252:K258" si="58">H252*F252</f>
        <v>0</v>
      </c>
    </row>
    <row r="253" spans="1:11" s="6" customFormat="1">
      <c r="A253" s="184" t="s">
        <v>868</v>
      </c>
      <c r="B253" s="311" t="s">
        <v>8</v>
      </c>
      <c r="C253" s="312"/>
      <c r="D253" s="312"/>
      <c r="E253" s="312"/>
      <c r="F253" s="312"/>
      <c r="G253" s="312"/>
      <c r="H253" s="312"/>
      <c r="I253" s="313"/>
      <c r="K253" s="50">
        <f t="shared" si="58"/>
        <v>0</v>
      </c>
    </row>
    <row r="254" spans="1:11" s="6" customFormat="1">
      <c r="A254" s="82" t="s">
        <v>869</v>
      </c>
      <c r="B254" s="82">
        <v>10501</v>
      </c>
      <c r="C254" s="88" t="s">
        <v>40</v>
      </c>
      <c r="D254" s="85" t="s">
        <v>630</v>
      </c>
      <c r="E254" s="82" t="s">
        <v>35</v>
      </c>
      <c r="F254" s="91">
        <v>128</v>
      </c>
      <c r="G254" s="91">
        <v>10.95</v>
      </c>
      <c r="H254" s="91">
        <f>G254*1.3136</f>
        <v>14.38</v>
      </c>
      <c r="I254" s="91">
        <f>F254*H254</f>
        <v>1840.64</v>
      </c>
      <c r="K254" s="50">
        <f t="shared" ref="K254" si="59">H254*F254</f>
        <v>1840.64</v>
      </c>
    </row>
    <row r="255" spans="1:11" s="6" customFormat="1" ht="69.75" customHeight="1">
      <c r="A255" s="82" t="s">
        <v>870</v>
      </c>
      <c r="B255" s="82">
        <v>20350</v>
      </c>
      <c r="C255" s="90" t="s">
        <v>746</v>
      </c>
      <c r="D255" s="85" t="s">
        <v>630</v>
      </c>
      <c r="E255" s="82" t="s">
        <v>35</v>
      </c>
      <c r="F255" s="91">
        <v>64</v>
      </c>
      <c r="G255" s="91">
        <v>146.1</v>
      </c>
      <c r="H255" s="91">
        <f>G255*1.3136</f>
        <v>191.92</v>
      </c>
      <c r="I255" s="91">
        <f>F255*H255</f>
        <v>12282.88</v>
      </c>
      <c r="K255" s="50">
        <f t="shared" si="58"/>
        <v>12282.88</v>
      </c>
    </row>
    <row r="256" spans="1:11" s="6" customFormat="1">
      <c r="A256" s="184" t="s">
        <v>871</v>
      </c>
      <c r="B256" s="311" t="s">
        <v>872</v>
      </c>
      <c r="C256" s="312"/>
      <c r="D256" s="312"/>
      <c r="E256" s="312"/>
      <c r="F256" s="312"/>
      <c r="G256" s="312"/>
      <c r="H256" s="312"/>
      <c r="I256" s="313"/>
      <c r="K256" s="50">
        <f t="shared" ref="K256" si="60">H256*F256</f>
        <v>0</v>
      </c>
    </row>
    <row r="257" spans="1:11" s="6" customFormat="1">
      <c r="A257" s="82" t="s">
        <v>873</v>
      </c>
      <c r="B257" s="82">
        <v>30101</v>
      </c>
      <c r="C257" s="88" t="s">
        <v>63</v>
      </c>
      <c r="D257" s="85" t="s">
        <v>630</v>
      </c>
      <c r="E257" s="82" t="s">
        <v>64</v>
      </c>
      <c r="F257" s="91">
        <v>91.11</v>
      </c>
      <c r="G257" s="91">
        <v>58.11</v>
      </c>
      <c r="H257" s="91">
        <f>G257*1.3136</f>
        <v>76.33</v>
      </c>
      <c r="I257" s="91">
        <f>F257*H257</f>
        <v>6954.43</v>
      </c>
      <c r="K257" s="50">
        <f t="shared" si="58"/>
        <v>6954.43</v>
      </c>
    </row>
    <row r="258" spans="1:11" s="6" customFormat="1">
      <c r="A258" s="184" t="s">
        <v>874</v>
      </c>
      <c r="B258" s="311" t="s">
        <v>875</v>
      </c>
      <c r="C258" s="312"/>
      <c r="D258" s="312"/>
      <c r="E258" s="312"/>
      <c r="F258" s="312"/>
      <c r="G258" s="312"/>
      <c r="H258" s="312"/>
      <c r="I258" s="313"/>
      <c r="K258" s="50">
        <f t="shared" si="58"/>
        <v>0</v>
      </c>
    </row>
    <row r="259" spans="1:11" s="6" customFormat="1" ht="30">
      <c r="A259" s="82" t="s">
        <v>876</v>
      </c>
      <c r="B259" s="82">
        <v>40243</v>
      </c>
      <c r="C259" s="90" t="s">
        <v>74</v>
      </c>
      <c r="D259" s="85" t="s">
        <v>630</v>
      </c>
      <c r="E259" s="82" t="s">
        <v>877</v>
      </c>
      <c r="F259" s="91">
        <v>529.85</v>
      </c>
      <c r="G259" s="91">
        <v>11.26</v>
      </c>
      <c r="H259" s="91">
        <f>G259*1.3136</f>
        <v>14.79</v>
      </c>
      <c r="I259" s="91">
        <f>F259*H259</f>
        <v>7836.48</v>
      </c>
      <c r="K259" s="50">
        <f t="shared" ref="K259" si="61">H259*F259</f>
        <v>7836.48</v>
      </c>
    </row>
    <row r="260" spans="1:11" s="6" customFormat="1" ht="60">
      <c r="A260" s="82" t="s">
        <v>878</v>
      </c>
      <c r="B260" s="82">
        <v>40337</v>
      </c>
      <c r="C260" s="90" t="s">
        <v>879</v>
      </c>
      <c r="D260" s="85" t="s">
        <v>630</v>
      </c>
      <c r="E260" s="82" t="s">
        <v>35</v>
      </c>
      <c r="F260" s="91">
        <v>100.79</v>
      </c>
      <c r="G260" s="91">
        <v>105.31</v>
      </c>
      <c r="H260" s="91">
        <f>G260*1.3136</f>
        <v>138.34</v>
      </c>
      <c r="I260" s="91">
        <f>F260*H260</f>
        <v>13943.29</v>
      </c>
      <c r="K260" s="50">
        <f t="shared" ref="K260:K266" si="62">H260*F260</f>
        <v>13943.29</v>
      </c>
    </row>
    <row r="261" spans="1:11" s="6" customFormat="1" ht="30">
      <c r="A261" s="82" t="s">
        <v>880</v>
      </c>
      <c r="B261" s="82">
        <v>40315</v>
      </c>
      <c r="C261" s="90" t="s">
        <v>882</v>
      </c>
      <c r="D261" s="85" t="s">
        <v>630</v>
      </c>
      <c r="E261" s="82" t="s">
        <v>64</v>
      </c>
      <c r="F261" s="91">
        <v>10.73</v>
      </c>
      <c r="G261" s="91">
        <v>870.83</v>
      </c>
      <c r="H261" s="91">
        <f>G261*1.3136</f>
        <v>1143.92</v>
      </c>
      <c r="I261" s="91">
        <f>F261*H261</f>
        <v>12274.26</v>
      </c>
      <c r="K261" s="50">
        <f t="shared" ref="K261" si="63">H261*F261</f>
        <v>12274.26</v>
      </c>
    </row>
    <row r="262" spans="1:11" s="6" customFormat="1">
      <c r="A262" s="82" t="s">
        <v>881</v>
      </c>
      <c r="B262" s="82">
        <v>100203</v>
      </c>
      <c r="C262" s="90" t="s">
        <v>883</v>
      </c>
      <c r="D262" s="85" t="s">
        <v>630</v>
      </c>
      <c r="E262" s="82" t="s">
        <v>35</v>
      </c>
      <c r="F262" s="91">
        <v>37.44</v>
      </c>
      <c r="G262" s="91">
        <v>42.71</v>
      </c>
      <c r="H262" s="91">
        <f>G262*1.3136</f>
        <v>56.1</v>
      </c>
      <c r="I262" s="91">
        <f>F262*H262</f>
        <v>2100.38</v>
      </c>
      <c r="K262" s="50">
        <f t="shared" si="62"/>
        <v>2100.38</v>
      </c>
    </row>
    <row r="263" spans="1:11" s="6" customFormat="1">
      <c r="A263" s="184" t="s">
        <v>884</v>
      </c>
      <c r="B263" s="311" t="s">
        <v>885</v>
      </c>
      <c r="C263" s="312"/>
      <c r="D263" s="312"/>
      <c r="E263" s="312"/>
      <c r="F263" s="312"/>
      <c r="G263" s="312"/>
      <c r="H263" s="312"/>
      <c r="I263" s="313"/>
      <c r="K263" s="50">
        <f t="shared" si="62"/>
        <v>0</v>
      </c>
    </row>
    <row r="264" spans="1:11" s="6" customFormat="1" ht="30">
      <c r="A264" s="82" t="s">
        <v>886</v>
      </c>
      <c r="B264" s="82">
        <v>42658</v>
      </c>
      <c r="C264" s="90" t="s">
        <v>887</v>
      </c>
      <c r="D264" s="97" t="s">
        <v>642</v>
      </c>
      <c r="E264" s="82" t="s">
        <v>35</v>
      </c>
      <c r="F264" s="91">
        <v>56.52</v>
      </c>
      <c r="G264" s="91">
        <v>56.45</v>
      </c>
      <c r="H264" s="91">
        <f>G264*1.3136</f>
        <v>74.150000000000006</v>
      </c>
      <c r="I264" s="91">
        <f>F264*H264</f>
        <v>4190.96</v>
      </c>
      <c r="K264" s="50">
        <f t="shared" ref="K264:K265" si="64">H264*F264</f>
        <v>4190.96</v>
      </c>
    </row>
    <row r="265" spans="1:11" s="6" customFormat="1" ht="60">
      <c r="A265" s="82" t="s">
        <v>888</v>
      </c>
      <c r="B265" s="82">
        <v>40337</v>
      </c>
      <c r="C265" s="90" t="s">
        <v>879</v>
      </c>
      <c r="D265" s="85" t="s">
        <v>630</v>
      </c>
      <c r="E265" s="82" t="s">
        <v>35</v>
      </c>
      <c r="F265" s="91">
        <v>18.96</v>
      </c>
      <c r="G265" s="91">
        <v>105.31</v>
      </c>
      <c r="H265" s="91">
        <f>G265*1.3136</f>
        <v>138.34</v>
      </c>
      <c r="I265" s="91">
        <f>F265*H265</f>
        <v>2622.93</v>
      </c>
      <c r="K265" s="50">
        <f t="shared" si="64"/>
        <v>2622.93</v>
      </c>
    </row>
    <row r="266" spans="1:11" s="6" customFormat="1" ht="45">
      <c r="A266" s="82" t="s">
        <v>889</v>
      </c>
      <c r="B266" s="82">
        <v>40240</v>
      </c>
      <c r="C266" s="90" t="s">
        <v>892</v>
      </c>
      <c r="D266" s="85" t="s">
        <v>630</v>
      </c>
      <c r="E266" s="82" t="s">
        <v>64</v>
      </c>
      <c r="F266" s="91">
        <v>10.08</v>
      </c>
      <c r="G266" s="91">
        <v>721.43</v>
      </c>
      <c r="H266" s="91">
        <f>G266*1.3136</f>
        <v>947.67</v>
      </c>
      <c r="I266" s="91">
        <f>F266*H266</f>
        <v>9552.51</v>
      </c>
      <c r="K266" s="50">
        <f t="shared" si="62"/>
        <v>9552.51</v>
      </c>
    </row>
    <row r="267" spans="1:11" s="6" customFormat="1" ht="45">
      <c r="A267" s="82" t="s">
        <v>890</v>
      </c>
      <c r="B267" s="82">
        <v>200243</v>
      </c>
      <c r="C267" s="90" t="s">
        <v>893</v>
      </c>
      <c r="D267" s="85" t="s">
        <v>630</v>
      </c>
      <c r="E267" s="82" t="s">
        <v>49</v>
      </c>
      <c r="F267" s="91">
        <v>26.4</v>
      </c>
      <c r="G267" s="91">
        <v>301.62</v>
      </c>
      <c r="H267" s="91">
        <f>G267*1.3136</f>
        <v>396.21</v>
      </c>
      <c r="I267" s="91">
        <f>F267*H267</f>
        <v>10459.94</v>
      </c>
      <c r="K267" s="50">
        <f t="shared" ref="K267:K323" si="65">H267*F267</f>
        <v>10459.94</v>
      </c>
    </row>
    <row r="268" spans="1:11" s="6" customFormat="1">
      <c r="A268" s="82" t="s">
        <v>891</v>
      </c>
      <c r="B268" s="82">
        <v>100203</v>
      </c>
      <c r="C268" s="90" t="s">
        <v>883</v>
      </c>
      <c r="D268" s="85" t="s">
        <v>630</v>
      </c>
      <c r="E268" s="82" t="s">
        <v>35</v>
      </c>
      <c r="F268" s="91">
        <v>42.12</v>
      </c>
      <c r="G268" s="91">
        <v>42.71</v>
      </c>
      <c r="H268" s="91">
        <f>G268*1.3136</f>
        <v>56.1</v>
      </c>
      <c r="I268" s="91">
        <f>F268*H268</f>
        <v>2362.9299999999998</v>
      </c>
      <c r="K268" s="50">
        <f t="shared" si="65"/>
        <v>2362.9299999999998</v>
      </c>
    </row>
    <row r="269" spans="1:11" s="6" customFormat="1">
      <c r="A269" s="184" t="s">
        <v>894</v>
      </c>
      <c r="B269" s="311" t="s">
        <v>895</v>
      </c>
      <c r="C269" s="312"/>
      <c r="D269" s="312"/>
      <c r="E269" s="312"/>
      <c r="F269" s="312"/>
      <c r="G269" s="312"/>
      <c r="H269" s="312"/>
      <c r="I269" s="313"/>
      <c r="K269" s="50">
        <f t="shared" si="65"/>
        <v>0</v>
      </c>
    </row>
    <row r="270" spans="1:11" s="6" customFormat="1" ht="30">
      <c r="A270" s="82" t="s">
        <v>896</v>
      </c>
      <c r="B270" s="82">
        <v>30101</v>
      </c>
      <c r="C270" s="90" t="s">
        <v>63</v>
      </c>
      <c r="D270" s="85" t="s">
        <v>630</v>
      </c>
      <c r="E270" s="82" t="s">
        <v>64</v>
      </c>
      <c r="F270" s="91">
        <v>23.1</v>
      </c>
      <c r="G270" s="91">
        <v>58.11</v>
      </c>
      <c r="H270" s="91">
        <f t="shared" ref="H270:H322" si="66">G270*1.3136</f>
        <v>76.33</v>
      </c>
      <c r="I270" s="91">
        <f t="shared" ref="I270:I291" si="67">F270*H270</f>
        <v>1763.22</v>
      </c>
      <c r="K270" s="50">
        <f t="shared" si="65"/>
        <v>1763.22</v>
      </c>
    </row>
    <row r="271" spans="1:11" s="6" customFormat="1">
      <c r="A271" s="82" t="s">
        <v>897</v>
      </c>
      <c r="B271" s="82">
        <v>30201</v>
      </c>
      <c r="C271" s="90" t="s">
        <v>65</v>
      </c>
      <c r="D271" s="85" t="s">
        <v>630</v>
      </c>
      <c r="E271" s="82" t="s">
        <v>64</v>
      </c>
      <c r="F271" s="91">
        <v>23.1</v>
      </c>
      <c r="G271" s="91">
        <v>62.58</v>
      </c>
      <c r="H271" s="91">
        <f t="shared" si="66"/>
        <v>82.21</v>
      </c>
      <c r="I271" s="91">
        <f t="shared" si="67"/>
        <v>1899.05</v>
      </c>
      <c r="K271" s="50">
        <f t="shared" ref="K271:K273" si="68">H271*F271</f>
        <v>1899.05</v>
      </c>
    </row>
    <row r="272" spans="1:11" s="6" customFormat="1" ht="45">
      <c r="A272" s="82" t="s">
        <v>898</v>
      </c>
      <c r="B272" s="82">
        <v>89365</v>
      </c>
      <c r="C272" s="90" t="s">
        <v>902</v>
      </c>
      <c r="D272" s="85" t="s">
        <v>72</v>
      </c>
      <c r="E272" s="82" t="s">
        <v>340</v>
      </c>
      <c r="F272" s="91">
        <v>2</v>
      </c>
      <c r="G272" s="91">
        <v>13.14</v>
      </c>
      <c r="H272" s="91">
        <f t="shared" si="66"/>
        <v>17.260000000000002</v>
      </c>
      <c r="I272" s="91">
        <f t="shared" si="67"/>
        <v>34.520000000000003</v>
      </c>
      <c r="K272" s="50">
        <f t="shared" si="68"/>
        <v>34.520000000000003</v>
      </c>
    </row>
    <row r="273" spans="1:11" s="6" customFormat="1" ht="30">
      <c r="A273" s="82" t="s">
        <v>899</v>
      </c>
      <c r="B273" s="82">
        <v>141410</v>
      </c>
      <c r="C273" s="90" t="s">
        <v>186</v>
      </c>
      <c r="D273" s="85" t="s">
        <v>630</v>
      </c>
      <c r="E273" s="82" t="s">
        <v>49</v>
      </c>
      <c r="F273" s="91">
        <v>3</v>
      </c>
      <c r="G273" s="91">
        <v>23.52</v>
      </c>
      <c r="H273" s="91">
        <f t="shared" si="66"/>
        <v>30.9</v>
      </c>
      <c r="I273" s="91">
        <f t="shared" si="67"/>
        <v>92.7</v>
      </c>
      <c r="K273" s="50">
        <f t="shared" si="68"/>
        <v>92.7</v>
      </c>
    </row>
    <row r="274" spans="1:11" s="6" customFormat="1" ht="30">
      <c r="A274" s="82" t="s">
        <v>900</v>
      </c>
      <c r="B274" s="82">
        <v>141522</v>
      </c>
      <c r="C274" s="90" t="s">
        <v>903</v>
      </c>
      <c r="D274" s="85" t="s">
        <v>630</v>
      </c>
      <c r="E274" s="82" t="s">
        <v>340</v>
      </c>
      <c r="F274" s="91">
        <v>1</v>
      </c>
      <c r="G274" s="91">
        <v>23.02</v>
      </c>
      <c r="H274" s="91">
        <f t="shared" si="66"/>
        <v>30.24</v>
      </c>
      <c r="I274" s="91">
        <f t="shared" si="67"/>
        <v>30.24</v>
      </c>
      <c r="K274" s="50">
        <f t="shared" ref="K274:K288" si="69">H274*F274</f>
        <v>30.24</v>
      </c>
    </row>
    <row r="275" spans="1:11" s="6" customFormat="1">
      <c r="A275" s="82" t="s">
        <v>901</v>
      </c>
      <c r="B275" s="82">
        <v>142120</v>
      </c>
      <c r="C275" s="90" t="s">
        <v>291</v>
      </c>
      <c r="D275" s="85" t="s">
        <v>630</v>
      </c>
      <c r="E275" s="82" t="s">
        <v>340</v>
      </c>
      <c r="F275" s="91">
        <v>1</v>
      </c>
      <c r="G275" s="91">
        <v>137.08000000000001</v>
      </c>
      <c r="H275" s="91">
        <f t="shared" si="66"/>
        <v>180.07</v>
      </c>
      <c r="I275" s="91">
        <f t="shared" si="67"/>
        <v>180.07</v>
      </c>
      <c r="K275" s="50">
        <f t="shared" si="69"/>
        <v>180.07</v>
      </c>
    </row>
    <row r="276" spans="1:11" s="6" customFormat="1" ht="30">
      <c r="A276" s="82" t="s">
        <v>920</v>
      </c>
      <c r="B276" s="82" t="s">
        <v>936</v>
      </c>
      <c r="C276" s="188" t="s">
        <v>905</v>
      </c>
      <c r="D276" s="94" t="s">
        <v>937</v>
      </c>
      <c r="E276" s="82" t="s">
        <v>340</v>
      </c>
      <c r="F276" s="91">
        <v>2</v>
      </c>
      <c r="G276" s="91">
        <v>248.84</v>
      </c>
      <c r="H276" s="91">
        <f t="shared" si="66"/>
        <v>326.88</v>
      </c>
      <c r="I276" s="91">
        <f t="shared" ref="I276:I283" si="70">F276*H276</f>
        <v>653.76</v>
      </c>
      <c r="K276" s="50">
        <f t="shared" si="69"/>
        <v>653.76</v>
      </c>
    </row>
    <row r="277" spans="1:11" s="6" customFormat="1" ht="30">
      <c r="A277" s="82" t="s">
        <v>921</v>
      </c>
      <c r="B277" s="82" t="s">
        <v>938</v>
      </c>
      <c r="C277" s="188" t="s">
        <v>906</v>
      </c>
      <c r="D277" s="94" t="s">
        <v>937</v>
      </c>
      <c r="E277" s="82" t="s">
        <v>340</v>
      </c>
      <c r="F277" s="91">
        <v>1</v>
      </c>
      <c r="G277" s="91">
        <v>261.77999999999997</v>
      </c>
      <c r="H277" s="91">
        <f t="shared" si="66"/>
        <v>343.87</v>
      </c>
      <c r="I277" s="91">
        <f t="shared" si="70"/>
        <v>343.87</v>
      </c>
      <c r="K277" s="50">
        <f t="shared" si="69"/>
        <v>343.87</v>
      </c>
    </row>
    <row r="278" spans="1:11" s="6" customFormat="1" ht="30">
      <c r="A278" s="82" t="s">
        <v>922</v>
      </c>
      <c r="B278" s="82" t="s">
        <v>939</v>
      </c>
      <c r="C278" s="188" t="s">
        <v>907</v>
      </c>
      <c r="D278" s="94" t="s">
        <v>937</v>
      </c>
      <c r="E278" s="82" t="s">
        <v>49</v>
      </c>
      <c r="F278" s="91">
        <v>5.7</v>
      </c>
      <c r="G278" s="91">
        <v>180.84</v>
      </c>
      <c r="H278" s="91">
        <f t="shared" si="66"/>
        <v>237.55</v>
      </c>
      <c r="I278" s="91">
        <f t="shared" si="70"/>
        <v>1354.04</v>
      </c>
      <c r="K278" s="50">
        <f t="shared" si="69"/>
        <v>1354.04</v>
      </c>
    </row>
    <row r="279" spans="1:11" s="6" customFormat="1" ht="38.25">
      <c r="A279" s="82" t="s">
        <v>923</v>
      </c>
      <c r="B279" s="82" t="s">
        <v>940</v>
      </c>
      <c r="C279" s="188" t="s">
        <v>908</v>
      </c>
      <c r="D279" s="94" t="s">
        <v>937</v>
      </c>
      <c r="E279" s="82" t="s">
        <v>340</v>
      </c>
      <c r="F279" s="91">
        <v>2</v>
      </c>
      <c r="G279" s="91">
        <v>106.39</v>
      </c>
      <c r="H279" s="91">
        <f t="shared" si="66"/>
        <v>139.75</v>
      </c>
      <c r="I279" s="91">
        <f t="shared" si="70"/>
        <v>279.5</v>
      </c>
      <c r="K279" s="50">
        <f t="shared" si="69"/>
        <v>279.5</v>
      </c>
    </row>
    <row r="280" spans="1:11" s="6" customFormat="1" ht="25.5">
      <c r="A280" s="82" t="s">
        <v>924</v>
      </c>
      <c r="B280" s="82">
        <v>89517</v>
      </c>
      <c r="C280" s="188" t="s">
        <v>909</v>
      </c>
      <c r="D280" s="85" t="s">
        <v>72</v>
      </c>
      <c r="E280" s="82" t="s">
        <v>340</v>
      </c>
      <c r="F280" s="91">
        <v>4</v>
      </c>
      <c r="G280" s="91">
        <v>83.35</v>
      </c>
      <c r="H280" s="91">
        <f t="shared" si="66"/>
        <v>109.49</v>
      </c>
      <c r="I280" s="91">
        <f t="shared" si="70"/>
        <v>437.96</v>
      </c>
      <c r="K280" s="50">
        <f t="shared" ref="K280:K283" si="71">H280*F280</f>
        <v>437.96</v>
      </c>
    </row>
    <row r="281" spans="1:11" s="6" customFormat="1" ht="25.5">
      <c r="A281" s="82" t="s">
        <v>925</v>
      </c>
      <c r="B281" s="82">
        <v>89629</v>
      </c>
      <c r="C281" s="188" t="s">
        <v>910</v>
      </c>
      <c r="D281" s="85" t="s">
        <v>72</v>
      </c>
      <c r="E281" s="82" t="s">
        <v>340</v>
      </c>
      <c r="F281" s="91">
        <v>15</v>
      </c>
      <c r="G281" s="91">
        <v>96.47</v>
      </c>
      <c r="H281" s="91">
        <f t="shared" si="66"/>
        <v>126.72</v>
      </c>
      <c r="I281" s="91">
        <f t="shared" si="70"/>
        <v>1900.8</v>
      </c>
      <c r="K281" s="50">
        <f t="shared" si="71"/>
        <v>1900.8</v>
      </c>
    </row>
    <row r="282" spans="1:11" s="6" customFormat="1" ht="38.25">
      <c r="A282" s="82" t="s">
        <v>926</v>
      </c>
      <c r="B282" s="82" t="s">
        <v>941</v>
      </c>
      <c r="C282" s="188" t="s">
        <v>911</v>
      </c>
      <c r="D282" s="94" t="s">
        <v>937</v>
      </c>
      <c r="E282" s="82" t="s">
        <v>340</v>
      </c>
      <c r="F282" s="91">
        <v>12</v>
      </c>
      <c r="G282" s="91">
        <v>51.29</v>
      </c>
      <c r="H282" s="91">
        <f t="shared" si="66"/>
        <v>67.37</v>
      </c>
      <c r="I282" s="91">
        <f t="shared" si="70"/>
        <v>808.44</v>
      </c>
      <c r="K282" s="50">
        <f t="shared" si="71"/>
        <v>808.44</v>
      </c>
    </row>
    <row r="283" spans="1:11" s="6" customFormat="1" ht="38.25">
      <c r="A283" s="82" t="s">
        <v>927</v>
      </c>
      <c r="B283" s="82" t="s">
        <v>942</v>
      </c>
      <c r="C283" s="188" t="s">
        <v>912</v>
      </c>
      <c r="D283" s="94" t="s">
        <v>937</v>
      </c>
      <c r="E283" s="82" t="s">
        <v>340</v>
      </c>
      <c r="F283" s="91">
        <v>3</v>
      </c>
      <c r="G283" s="91">
        <v>55.97</v>
      </c>
      <c r="H283" s="91">
        <f t="shared" si="66"/>
        <v>73.52</v>
      </c>
      <c r="I283" s="91">
        <f t="shared" si="70"/>
        <v>220.56</v>
      </c>
      <c r="K283" s="50">
        <f t="shared" si="71"/>
        <v>220.56</v>
      </c>
    </row>
    <row r="284" spans="1:11" s="6" customFormat="1" ht="25.5">
      <c r="A284" s="82" t="s">
        <v>928</v>
      </c>
      <c r="B284" s="82">
        <v>89628</v>
      </c>
      <c r="C284" s="188" t="s">
        <v>913</v>
      </c>
      <c r="D284" s="85" t="s">
        <v>72</v>
      </c>
      <c r="E284" s="82" t="s">
        <v>340</v>
      </c>
      <c r="F284" s="91">
        <v>3</v>
      </c>
      <c r="G284" s="91">
        <v>57.12</v>
      </c>
      <c r="H284" s="91">
        <f t="shared" si="66"/>
        <v>75.03</v>
      </c>
      <c r="I284" s="91">
        <f t="shared" si="67"/>
        <v>225.09</v>
      </c>
      <c r="K284" s="50">
        <f t="shared" ref="K284:K287" si="72">H284*F284</f>
        <v>225.09</v>
      </c>
    </row>
    <row r="285" spans="1:11" s="6" customFormat="1" ht="38.25">
      <c r="A285" s="82" t="s">
        <v>929</v>
      </c>
      <c r="B285" s="82">
        <v>89605</v>
      </c>
      <c r="C285" s="188" t="s">
        <v>914</v>
      </c>
      <c r="D285" s="85" t="s">
        <v>72</v>
      </c>
      <c r="E285" s="82" t="s">
        <v>340</v>
      </c>
      <c r="F285" s="91">
        <v>6</v>
      </c>
      <c r="G285" s="91">
        <v>24.53</v>
      </c>
      <c r="H285" s="91">
        <f t="shared" si="66"/>
        <v>32.22</v>
      </c>
      <c r="I285" s="91">
        <f t="shared" ref="I285:I287" si="73">F285*H285</f>
        <v>193.32</v>
      </c>
      <c r="K285" s="50">
        <f t="shared" si="72"/>
        <v>193.32</v>
      </c>
    </row>
    <row r="286" spans="1:11" s="6" customFormat="1" ht="38.25">
      <c r="A286" s="82" t="s">
        <v>930</v>
      </c>
      <c r="B286" s="82">
        <v>103986</v>
      </c>
      <c r="C286" s="188" t="s">
        <v>915</v>
      </c>
      <c r="D286" s="85" t="s">
        <v>72</v>
      </c>
      <c r="E286" s="82" t="s">
        <v>340</v>
      </c>
      <c r="F286" s="91">
        <v>3</v>
      </c>
      <c r="G286" s="91">
        <v>32.979999999999997</v>
      </c>
      <c r="H286" s="91">
        <f t="shared" si="66"/>
        <v>43.32</v>
      </c>
      <c r="I286" s="91">
        <f t="shared" si="73"/>
        <v>129.96</v>
      </c>
      <c r="K286" s="50">
        <f t="shared" si="72"/>
        <v>129.96</v>
      </c>
    </row>
    <row r="287" spans="1:11" s="6" customFormat="1" ht="25.5">
      <c r="A287" s="82" t="s">
        <v>931</v>
      </c>
      <c r="B287" s="82">
        <v>141415</v>
      </c>
      <c r="C287" s="188" t="s">
        <v>916</v>
      </c>
      <c r="D287" s="85" t="s">
        <v>630</v>
      </c>
      <c r="E287" s="82" t="s">
        <v>49</v>
      </c>
      <c r="F287" s="91">
        <v>13.5</v>
      </c>
      <c r="G287" s="91">
        <v>89.41</v>
      </c>
      <c r="H287" s="91">
        <f t="shared" si="66"/>
        <v>117.45</v>
      </c>
      <c r="I287" s="91">
        <f t="shared" si="73"/>
        <v>1585.58</v>
      </c>
      <c r="K287" s="50">
        <f t="shared" si="72"/>
        <v>1585.58</v>
      </c>
    </row>
    <row r="288" spans="1:11" s="6" customFormat="1">
      <c r="A288" s="82" t="s">
        <v>932</v>
      </c>
      <c r="B288" s="82">
        <v>141414</v>
      </c>
      <c r="C288" s="188" t="s">
        <v>917</v>
      </c>
      <c r="D288" s="85" t="s">
        <v>630</v>
      </c>
      <c r="E288" s="82" t="s">
        <v>49</v>
      </c>
      <c r="F288" s="91">
        <v>3</v>
      </c>
      <c r="G288" s="91">
        <v>61.23</v>
      </c>
      <c r="H288" s="91">
        <f t="shared" si="66"/>
        <v>80.430000000000007</v>
      </c>
      <c r="I288" s="91">
        <f t="shared" ref="I288" si="74">F288*H288</f>
        <v>241.29</v>
      </c>
      <c r="K288" s="50">
        <f t="shared" si="69"/>
        <v>241.29</v>
      </c>
    </row>
    <row r="289" spans="1:11" s="6" customFormat="1" ht="25.5">
      <c r="A289" s="82" t="s">
        <v>933</v>
      </c>
      <c r="B289" s="82">
        <v>141413</v>
      </c>
      <c r="C289" s="188" t="s">
        <v>187</v>
      </c>
      <c r="D289" s="85" t="s">
        <v>630</v>
      </c>
      <c r="E289" s="82" t="s">
        <v>49</v>
      </c>
      <c r="F289" s="91">
        <v>21</v>
      </c>
      <c r="G289" s="91">
        <v>47.79</v>
      </c>
      <c r="H289" s="91">
        <f t="shared" si="66"/>
        <v>62.78</v>
      </c>
      <c r="I289" s="91">
        <f t="shared" si="67"/>
        <v>1318.38</v>
      </c>
      <c r="K289" s="50">
        <f t="shared" si="65"/>
        <v>1318.38</v>
      </c>
    </row>
    <row r="290" spans="1:11" s="6" customFormat="1" ht="38.25">
      <c r="A290" s="82" t="s">
        <v>934</v>
      </c>
      <c r="B290" s="82">
        <v>89579</v>
      </c>
      <c r="C290" s="189" t="s">
        <v>918</v>
      </c>
      <c r="D290" s="85" t="s">
        <v>72</v>
      </c>
      <c r="E290" s="82" t="s">
        <v>340</v>
      </c>
      <c r="F290" s="91">
        <v>18</v>
      </c>
      <c r="G290" s="91">
        <v>13.88</v>
      </c>
      <c r="H290" s="91">
        <f t="shared" si="66"/>
        <v>18.23</v>
      </c>
      <c r="I290" s="91">
        <f t="shared" si="67"/>
        <v>328.14</v>
      </c>
      <c r="K290" s="50">
        <f t="shared" si="65"/>
        <v>328.14</v>
      </c>
    </row>
    <row r="291" spans="1:11" s="6" customFormat="1">
      <c r="A291" s="82" t="s">
        <v>935</v>
      </c>
      <c r="B291" s="82">
        <v>170320</v>
      </c>
      <c r="C291" s="188" t="s">
        <v>919</v>
      </c>
      <c r="D291" s="85" t="s">
        <v>630</v>
      </c>
      <c r="E291" s="82" t="s">
        <v>340</v>
      </c>
      <c r="F291" s="91">
        <v>18</v>
      </c>
      <c r="G291" s="91">
        <v>61.82</v>
      </c>
      <c r="H291" s="91">
        <f t="shared" si="66"/>
        <v>81.209999999999994</v>
      </c>
      <c r="I291" s="91">
        <f t="shared" si="67"/>
        <v>1461.78</v>
      </c>
      <c r="K291" s="50">
        <f t="shared" si="65"/>
        <v>1461.78</v>
      </c>
    </row>
    <row r="292" spans="1:11" s="6" customFormat="1">
      <c r="A292" s="184" t="s">
        <v>943</v>
      </c>
      <c r="B292" s="311" t="s">
        <v>944</v>
      </c>
      <c r="C292" s="312"/>
      <c r="D292" s="312"/>
      <c r="E292" s="312"/>
      <c r="F292" s="312"/>
      <c r="G292" s="312"/>
      <c r="H292" s="312"/>
      <c r="I292" s="313"/>
      <c r="K292" s="50">
        <f t="shared" si="65"/>
        <v>0</v>
      </c>
    </row>
    <row r="293" spans="1:11" s="6" customFormat="1" ht="25.5">
      <c r="A293" s="82" t="s">
        <v>945</v>
      </c>
      <c r="B293" s="82">
        <v>30101</v>
      </c>
      <c r="C293" s="189" t="s">
        <v>63</v>
      </c>
      <c r="D293" s="85" t="s">
        <v>630</v>
      </c>
      <c r="E293" s="82" t="s">
        <v>64</v>
      </c>
      <c r="F293" s="91">
        <v>22.14</v>
      </c>
      <c r="G293" s="91">
        <v>58.11</v>
      </c>
      <c r="H293" s="91">
        <f t="shared" si="66"/>
        <v>76.33</v>
      </c>
      <c r="I293" s="91">
        <f t="shared" ref="I293:I296" si="75">F293*H293</f>
        <v>1689.95</v>
      </c>
      <c r="K293" s="50">
        <f t="shared" si="65"/>
        <v>1689.95</v>
      </c>
    </row>
    <row r="294" spans="1:11" s="6" customFormat="1">
      <c r="A294" s="82" t="s">
        <v>949</v>
      </c>
      <c r="B294" s="82">
        <v>30201</v>
      </c>
      <c r="C294" s="188" t="s">
        <v>65</v>
      </c>
      <c r="D294" s="85" t="s">
        <v>630</v>
      </c>
      <c r="E294" s="82" t="s">
        <v>64</v>
      </c>
      <c r="F294" s="91">
        <v>22.14</v>
      </c>
      <c r="G294" s="91">
        <v>62.58</v>
      </c>
      <c r="H294" s="91">
        <f t="shared" si="66"/>
        <v>82.21</v>
      </c>
      <c r="I294" s="91">
        <f t="shared" si="75"/>
        <v>1820.13</v>
      </c>
      <c r="K294" s="50">
        <f t="shared" si="65"/>
        <v>1820.13</v>
      </c>
    </row>
    <row r="295" spans="1:11" s="6" customFormat="1" ht="25.5">
      <c r="A295" s="82" t="s">
        <v>950</v>
      </c>
      <c r="B295" s="82">
        <v>104064</v>
      </c>
      <c r="C295" s="188" t="s">
        <v>946</v>
      </c>
      <c r="D295" s="85" t="s">
        <v>72</v>
      </c>
      <c r="E295" s="82" t="s">
        <v>340</v>
      </c>
      <c r="F295" s="91">
        <v>24</v>
      </c>
      <c r="G295" s="91">
        <v>219.37</v>
      </c>
      <c r="H295" s="91">
        <f t="shared" si="66"/>
        <v>288.16000000000003</v>
      </c>
      <c r="I295" s="91">
        <f t="shared" si="75"/>
        <v>6915.84</v>
      </c>
      <c r="K295" s="50">
        <f t="shared" ref="K295:K296" si="76">H295*F295</f>
        <v>6915.84</v>
      </c>
    </row>
    <row r="296" spans="1:11" s="6" customFormat="1" ht="25.5">
      <c r="A296" s="82" t="s">
        <v>951</v>
      </c>
      <c r="B296" s="82">
        <v>141910</v>
      </c>
      <c r="C296" s="188" t="s">
        <v>212</v>
      </c>
      <c r="D296" s="85" t="s">
        <v>630</v>
      </c>
      <c r="E296" s="82" t="s">
        <v>49</v>
      </c>
      <c r="F296" s="91">
        <v>73.8</v>
      </c>
      <c r="G296" s="91">
        <v>100.52</v>
      </c>
      <c r="H296" s="91">
        <f t="shared" si="66"/>
        <v>132.04</v>
      </c>
      <c r="I296" s="91">
        <f t="shared" si="75"/>
        <v>9744.5499999999993</v>
      </c>
      <c r="K296" s="50">
        <f t="shared" si="76"/>
        <v>9744.5499999999993</v>
      </c>
    </row>
    <row r="297" spans="1:11" s="6" customFormat="1" ht="25.5">
      <c r="A297" s="82" t="s">
        <v>952</v>
      </c>
      <c r="B297" s="82">
        <v>141525</v>
      </c>
      <c r="C297" s="188" t="s">
        <v>292</v>
      </c>
      <c r="D297" s="85" t="s">
        <v>630</v>
      </c>
      <c r="E297" s="82" t="s">
        <v>340</v>
      </c>
      <c r="F297" s="91">
        <v>3</v>
      </c>
      <c r="G297" s="91">
        <v>44.82</v>
      </c>
      <c r="H297" s="91">
        <f t="shared" si="66"/>
        <v>58.88</v>
      </c>
      <c r="I297" s="91">
        <f t="shared" ref="I297:I298" si="77">F297*H297</f>
        <v>176.64</v>
      </c>
      <c r="K297" s="50">
        <f t="shared" ref="K297:K298" si="78">H297*F297</f>
        <v>176.64</v>
      </c>
    </row>
    <row r="298" spans="1:11" s="6" customFormat="1" ht="38.25">
      <c r="A298" s="82" t="s">
        <v>953</v>
      </c>
      <c r="B298" s="82">
        <v>89804</v>
      </c>
      <c r="C298" s="188" t="s">
        <v>947</v>
      </c>
      <c r="D298" s="85" t="s">
        <v>72</v>
      </c>
      <c r="E298" s="82" t="s">
        <v>340</v>
      </c>
      <c r="F298" s="91">
        <v>1</v>
      </c>
      <c r="G298" s="91">
        <v>24.68</v>
      </c>
      <c r="H298" s="91">
        <f t="shared" si="66"/>
        <v>32.42</v>
      </c>
      <c r="I298" s="91">
        <f t="shared" si="77"/>
        <v>32.42</v>
      </c>
      <c r="K298" s="50">
        <f t="shared" si="78"/>
        <v>32.42</v>
      </c>
    </row>
    <row r="299" spans="1:11" s="6" customFormat="1">
      <c r="A299" s="82" t="s">
        <v>954</v>
      </c>
      <c r="B299" s="82">
        <v>142107</v>
      </c>
      <c r="C299" s="188" t="s">
        <v>948</v>
      </c>
      <c r="D299" s="85" t="s">
        <v>630</v>
      </c>
      <c r="E299" s="82" t="s">
        <v>340</v>
      </c>
      <c r="F299" s="91">
        <v>1</v>
      </c>
      <c r="G299" s="91">
        <v>65.14</v>
      </c>
      <c r="H299" s="91">
        <f t="shared" si="66"/>
        <v>85.57</v>
      </c>
      <c r="I299" s="91">
        <f t="shared" ref="I299:I300" si="79">F299*H299</f>
        <v>85.57</v>
      </c>
      <c r="K299" s="50">
        <f t="shared" si="65"/>
        <v>85.57</v>
      </c>
    </row>
    <row r="300" spans="1:11" s="6" customFormat="1" ht="25.5">
      <c r="A300" s="82" t="s">
        <v>955</v>
      </c>
      <c r="B300" s="82">
        <v>141907</v>
      </c>
      <c r="C300" s="188" t="s">
        <v>210</v>
      </c>
      <c r="D300" s="85" t="s">
        <v>630</v>
      </c>
      <c r="E300" s="82" t="s">
        <v>49</v>
      </c>
      <c r="F300" s="91">
        <v>27.9</v>
      </c>
      <c r="G300" s="91">
        <v>40.76</v>
      </c>
      <c r="H300" s="91">
        <f t="shared" si="66"/>
        <v>53.54</v>
      </c>
      <c r="I300" s="91">
        <f t="shared" si="79"/>
        <v>1493.77</v>
      </c>
      <c r="K300" s="50">
        <f t="shared" si="65"/>
        <v>1493.77</v>
      </c>
    </row>
    <row r="301" spans="1:11" s="6" customFormat="1">
      <c r="A301" s="184" t="s">
        <v>956</v>
      </c>
      <c r="B301" s="311" t="s">
        <v>957</v>
      </c>
      <c r="C301" s="312"/>
      <c r="D301" s="312"/>
      <c r="E301" s="312"/>
      <c r="F301" s="312"/>
      <c r="G301" s="312"/>
      <c r="H301" s="312"/>
      <c r="I301" s="313"/>
      <c r="K301" s="50">
        <f t="shared" ref="K301:K311" si="80">H301*F301</f>
        <v>0</v>
      </c>
    </row>
    <row r="302" spans="1:11" s="6" customFormat="1" ht="25.5">
      <c r="A302" s="82" t="s">
        <v>958</v>
      </c>
      <c r="B302" s="82">
        <v>151137</v>
      </c>
      <c r="C302" s="188" t="s">
        <v>959</v>
      </c>
      <c r="D302" s="85" t="s">
        <v>630</v>
      </c>
      <c r="E302" s="82" t="s">
        <v>49</v>
      </c>
      <c r="F302" s="91">
        <v>5</v>
      </c>
      <c r="G302" s="91">
        <v>26.32</v>
      </c>
      <c r="H302" s="91">
        <f t="shared" si="66"/>
        <v>34.57</v>
      </c>
      <c r="I302" s="91">
        <f t="shared" ref="I302:I304" si="81">F302*H302</f>
        <v>172.85</v>
      </c>
      <c r="K302" s="50">
        <f t="shared" ref="K302:K304" si="82">H302*F302</f>
        <v>172.85</v>
      </c>
    </row>
    <row r="303" spans="1:11" s="6" customFormat="1">
      <c r="A303" s="82" t="s">
        <v>968</v>
      </c>
      <c r="B303" s="82">
        <v>151420</v>
      </c>
      <c r="C303" s="240" t="s">
        <v>960</v>
      </c>
      <c r="D303" s="85" t="s">
        <v>630</v>
      </c>
      <c r="E303" s="82" t="s">
        <v>49</v>
      </c>
      <c r="F303" s="91">
        <v>25</v>
      </c>
      <c r="G303" s="91">
        <v>16.79</v>
      </c>
      <c r="H303" s="91">
        <f t="shared" si="66"/>
        <v>22.06</v>
      </c>
      <c r="I303" s="91">
        <f t="shared" si="81"/>
        <v>551.5</v>
      </c>
      <c r="K303" s="50">
        <f t="shared" si="82"/>
        <v>551.5</v>
      </c>
    </row>
    <row r="304" spans="1:11" s="6" customFormat="1">
      <c r="A304" s="82" t="s">
        <v>969</v>
      </c>
      <c r="B304" s="82">
        <v>150634</v>
      </c>
      <c r="C304" s="188" t="s">
        <v>961</v>
      </c>
      <c r="D304" s="85" t="s">
        <v>630</v>
      </c>
      <c r="E304" s="82" t="s">
        <v>340</v>
      </c>
      <c r="F304" s="91">
        <v>1</v>
      </c>
      <c r="G304" s="91">
        <v>202.31</v>
      </c>
      <c r="H304" s="91">
        <f t="shared" si="66"/>
        <v>265.75</v>
      </c>
      <c r="I304" s="91">
        <f t="shared" si="81"/>
        <v>265.75</v>
      </c>
      <c r="K304" s="50">
        <f t="shared" si="82"/>
        <v>265.75</v>
      </c>
    </row>
    <row r="305" spans="1:11" s="6" customFormat="1">
      <c r="A305" s="82" t="s">
        <v>970</v>
      </c>
      <c r="B305" s="82">
        <v>150632</v>
      </c>
      <c r="C305" s="188" t="s">
        <v>962</v>
      </c>
      <c r="D305" s="85" t="s">
        <v>630</v>
      </c>
      <c r="E305" s="82" t="s">
        <v>340</v>
      </c>
      <c r="F305" s="91">
        <v>1</v>
      </c>
      <c r="G305" s="91">
        <v>81.28</v>
      </c>
      <c r="H305" s="91">
        <f t="shared" si="66"/>
        <v>106.77</v>
      </c>
      <c r="I305" s="91">
        <f t="shared" ref="I305:I308" si="83">F305*H305</f>
        <v>106.77</v>
      </c>
      <c r="K305" s="50">
        <f t="shared" si="80"/>
        <v>106.77</v>
      </c>
    </row>
    <row r="306" spans="1:11" s="6" customFormat="1" ht="25.5">
      <c r="A306" s="82" t="s">
        <v>971</v>
      </c>
      <c r="B306" s="82">
        <v>150806</v>
      </c>
      <c r="C306" s="188" t="s">
        <v>963</v>
      </c>
      <c r="D306" s="85" t="s">
        <v>630</v>
      </c>
      <c r="E306" s="82" t="s">
        <v>49</v>
      </c>
      <c r="F306" s="91">
        <v>10</v>
      </c>
      <c r="G306" s="91">
        <v>25.42</v>
      </c>
      <c r="H306" s="91">
        <f t="shared" si="66"/>
        <v>33.39</v>
      </c>
      <c r="I306" s="91">
        <f t="shared" si="83"/>
        <v>333.9</v>
      </c>
      <c r="K306" s="50">
        <f t="shared" si="80"/>
        <v>333.9</v>
      </c>
    </row>
    <row r="307" spans="1:11" s="6" customFormat="1" ht="25.5">
      <c r="A307" s="82" t="s">
        <v>972</v>
      </c>
      <c r="B307" s="82">
        <v>151137</v>
      </c>
      <c r="C307" s="188" t="s">
        <v>959</v>
      </c>
      <c r="D307" s="85" t="s">
        <v>630</v>
      </c>
      <c r="E307" s="82" t="s">
        <v>49</v>
      </c>
      <c r="F307" s="91">
        <v>27</v>
      </c>
      <c r="G307" s="91">
        <v>26.32</v>
      </c>
      <c r="H307" s="91">
        <f t="shared" si="66"/>
        <v>34.57</v>
      </c>
      <c r="I307" s="91">
        <f t="shared" si="83"/>
        <v>933.39</v>
      </c>
      <c r="K307" s="50">
        <f t="shared" ref="K307:K308" si="84">H307*F307</f>
        <v>933.39</v>
      </c>
    </row>
    <row r="308" spans="1:11" s="6" customFormat="1" ht="38.25">
      <c r="A308" s="82" t="s">
        <v>973</v>
      </c>
      <c r="B308" s="82">
        <v>95781</v>
      </c>
      <c r="C308" s="188" t="s">
        <v>964</v>
      </c>
      <c r="D308" s="85" t="s">
        <v>72</v>
      </c>
      <c r="E308" s="82" t="s">
        <v>340</v>
      </c>
      <c r="F308" s="91">
        <v>16</v>
      </c>
      <c r="G308" s="91">
        <v>41.03</v>
      </c>
      <c r="H308" s="91">
        <f t="shared" si="66"/>
        <v>53.9</v>
      </c>
      <c r="I308" s="91">
        <f t="shared" si="83"/>
        <v>862.4</v>
      </c>
      <c r="K308" s="50">
        <f t="shared" si="84"/>
        <v>862.4</v>
      </c>
    </row>
    <row r="309" spans="1:11" s="6" customFormat="1" ht="38.25">
      <c r="A309" s="82" t="s">
        <v>974</v>
      </c>
      <c r="B309" s="82">
        <v>95782</v>
      </c>
      <c r="C309" s="188" t="s">
        <v>965</v>
      </c>
      <c r="D309" s="85" t="s">
        <v>72</v>
      </c>
      <c r="E309" s="82" t="s">
        <v>340</v>
      </c>
      <c r="F309" s="91">
        <v>5</v>
      </c>
      <c r="G309" s="91">
        <v>38.21</v>
      </c>
      <c r="H309" s="91">
        <f t="shared" si="66"/>
        <v>50.19</v>
      </c>
      <c r="I309" s="91">
        <f t="shared" ref="I309:I310" si="85">F309*H309</f>
        <v>250.95</v>
      </c>
      <c r="K309" s="50">
        <f t="shared" ref="K309:K310" si="86">H309*F309</f>
        <v>250.95</v>
      </c>
    </row>
    <row r="310" spans="1:11" s="6" customFormat="1">
      <c r="A310" s="82" t="s">
        <v>975</v>
      </c>
      <c r="B310" s="82">
        <v>151402</v>
      </c>
      <c r="C310" s="188" t="s">
        <v>966</v>
      </c>
      <c r="D310" s="85" t="s">
        <v>630</v>
      </c>
      <c r="E310" s="82" t="s">
        <v>49</v>
      </c>
      <c r="F310" s="91">
        <v>36</v>
      </c>
      <c r="G310" s="91">
        <v>7.11</v>
      </c>
      <c r="H310" s="91">
        <f t="shared" si="66"/>
        <v>9.34</v>
      </c>
      <c r="I310" s="91">
        <f t="shared" si="85"/>
        <v>336.24</v>
      </c>
      <c r="K310" s="50">
        <f t="shared" si="86"/>
        <v>336.24</v>
      </c>
    </row>
    <row r="311" spans="1:11" s="6" customFormat="1" ht="25.5">
      <c r="A311" s="82" t="s">
        <v>976</v>
      </c>
      <c r="B311" s="82">
        <v>151403</v>
      </c>
      <c r="C311" s="188" t="s">
        <v>967</v>
      </c>
      <c r="D311" s="85" t="s">
        <v>630</v>
      </c>
      <c r="E311" s="82" t="s">
        <v>49</v>
      </c>
      <c r="F311" s="91">
        <v>40</v>
      </c>
      <c r="G311" s="91">
        <v>8.56</v>
      </c>
      <c r="H311" s="91">
        <f t="shared" si="66"/>
        <v>11.24</v>
      </c>
      <c r="I311" s="91">
        <f t="shared" ref="I311" si="87">F311*H311</f>
        <v>449.6</v>
      </c>
      <c r="K311" s="50">
        <f t="shared" si="80"/>
        <v>449.6</v>
      </c>
    </row>
    <row r="312" spans="1:11" s="6" customFormat="1">
      <c r="A312" s="184" t="s">
        <v>977</v>
      </c>
      <c r="B312" s="311" t="s">
        <v>978</v>
      </c>
      <c r="C312" s="312"/>
      <c r="D312" s="312"/>
      <c r="E312" s="312"/>
      <c r="F312" s="312"/>
      <c r="G312" s="312"/>
      <c r="H312" s="312"/>
      <c r="I312" s="313"/>
      <c r="K312" s="50">
        <f t="shared" ref="K312:K313" si="88">H312*F312</f>
        <v>0</v>
      </c>
    </row>
    <row r="313" spans="1:11" s="6" customFormat="1" ht="105">
      <c r="A313" s="82" t="s">
        <v>979</v>
      </c>
      <c r="B313" s="82" t="s">
        <v>980</v>
      </c>
      <c r="C313" s="90" t="s">
        <v>982</v>
      </c>
      <c r="D313" s="85" t="s">
        <v>981</v>
      </c>
      <c r="E313" s="82" t="s">
        <v>340</v>
      </c>
      <c r="F313" s="91">
        <v>1</v>
      </c>
      <c r="G313" s="91">
        <v>117293.62</v>
      </c>
      <c r="H313" s="91">
        <f t="shared" si="66"/>
        <v>154076.9</v>
      </c>
      <c r="I313" s="91">
        <f t="shared" ref="I313" si="89">F313*H313</f>
        <v>154076.9</v>
      </c>
      <c r="K313" s="50">
        <f t="shared" si="88"/>
        <v>154076.9</v>
      </c>
    </row>
    <row r="314" spans="1:11" s="6" customFormat="1">
      <c r="A314" s="184" t="s">
        <v>983</v>
      </c>
      <c r="B314" s="311" t="s">
        <v>984</v>
      </c>
      <c r="C314" s="312"/>
      <c r="D314" s="312"/>
      <c r="E314" s="312"/>
      <c r="F314" s="312"/>
      <c r="G314" s="312"/>
      <c r="H314" s="312"/>
      <c r="I314" s="313"/>
      <c r="K314" s="50">
        <f t="shared" ref="K314:K320" si="90">H314*F314</f>
        <v>0</v>
      </c>
    </row>
    <row r="315" spans="1:11" s="6" customFormat="1" ht="25.5">
      <c r="A315" s="82" t="s">
        <v>985</v>
      </c>
      <c r="B315" s="82">
        <v>141109</v>
      </c>
      <c r="C315" s="188" t="s">
        <v>986</v>
      </c>
      <c r="D315" s="85" t="s">
        <v>630</v>
      </c>
      <c r="E315" s="82" t="s">
        <v>49</v>
      </c>
      <c r="F315" s="91">
        <v>26.4</v>
      </c>
      <c r="G315" s="91">
        <v>222.21</v>
      </c>
      <c r="H315" s="91">
        <f t="shared" si="66"/>
        <v>291.89999999999998</v>
      </c>
      <c r="I315" s="91">
        <f t="shared" ref="I315:I316" si="91">F315*H315</f>
        <v>7706.16</v>
      </c>
      <c r="K315" s="50">
        <f t="shared" si="90"/>
        <v>7706.16</v>
      </c>
    </row>
    <row r="316" spans="1:11" s="6" customFormat="1" ht="51">
      <c r="A316" s="82" t="s">
        <v>991</v>
      </c>
      <c r="B316" s="82">
        <v>130231</v>
      </c>
      <c r="C316" s="188" t="s">
        <v>333</v>
      </c>
      <c r="D316" s="85" t="s">
        <v>630</v>
      </c>
      <c r="E316" s="82" t="s">
        <v>35</v>
      </c>
      <c r="F316" s="91">
        <v>42.12</v>
      </c>
      <c r="G316" s="91">
        <v>152.5</v>
      </c>
      <c r="H316" s="91">
        <f t="shared" si="66"/>
        <v>200.32</v>
      </c>
      <c r="I316" s="91">
        <f t="shared" si="91"/>
        <v>8437.48</v>
      </c>
      <c r="K316" s="50">
        <f t="shared" si="90"/>
        <v>8437.48</v>
      </c>
    </row>
    <row r="317" spans="1:11" s="6" customFormat="1" ht="25.5">
      <c r="A317" s="82" t="s">
        <v>992</v>
      </c>
      <c r="B317" s="82" t="s">
        <v>996</v>
      </c>
      <c r="C317" s="188" t="s">
        <v>987</v>
      </c>
      <c r="D317" s="85" t="s">
        <v>630</v>
      </c>
      <c r="E317" s="82" t="s">
        <v>340</v>
      </c>
      <c r="F317" s="91">
        <v>2</v>
      </c>
      <c r="G317" s="91">
        <v>9627.4</v>
      </c>
      <c r="H317" s="91">
        <f t="shared" si="66"/>
        <v>12646.55</v>
      </c>
      <c r="I317" s="91">
        <f t="shared" ref="I317:I318" si="92">F317*H317</f>
        <v>25293.1</v>
      </c>
      <c r="K317" s="50">
        <f t="shared" ref="K317:K318" si="93">H317*F317</f>
        <v>25293.1</v>
      </c>
    </row>
    <row r="318" spans="1:11" s="6" customFormat="1" ht="38.25">
      <c r="A318" s="82" t="s">
        <v>993</v>
      </c>
      <c r="B318" s="82">
        <v>100208</v>
      </c>
      <c r="C318" s="188" t="s">
        <v>988</v>
      </c>
      <c r="D318" s="85" t="s">
        <v>630</v>
      </c>
      <c r="E318" s="82" t="s">
        <v>35</v>
      </c>
      <c r="F318" s="91">
        <v>8.8000000000000007</v>
      </c>
      <c r="G318" s="91">
        <v>239</v>
      </c>
      <c r="H318" s="91">
        <f t="shared" si="66"/>
        <v>313.95</v>
      </c>
      <c r="I318" s="91">
        <f t="shared" si="92"/>
        <v>2762.76</v>
      </c>
      <c r="K318" s="50">
        <f t="shared" si="93"/>
        <v>2762.76</v>
      </c>
    </row>
    <row r="319" spans="1:11" s="6" customFormat="1" ht="57.75">
      <c r="A319" s="82" t="s">
        <v>994</v>
      </c>
      <c r="B319" s="82">
        <v>130236</v>
      </c>
      <c r="C319" s="241" t="s">
        <v>989</v>
      </c>
      <c r="D319" s="85" t="s">
        <v>630</v>
      </c>
      <c r="E319" s="82" t="s">
        <v>35</v>
      </c>
      <c r="F319" s="91">
        <v>7.8</v>
      </c>
      <c r="G319" s="91">
        <v>90.75</v>
      </c>
      <c r="H319" s="91">
        <f t="shared" si="66"/>
        <v>119.21</v>
      </c>
      <c r="I319" s="91">
        <f t="shared" ref="I319:I320" si="94">F319*H319</f>
        <v>929.84</v>
      </c>
      <c r="K319" s="50">
        <f t="shared" si="90"/>
        <v>929.84</v>
      </c>
    </row>
    <row r="320" spans="1:11" s="6" customFormat="1" ht="38.25">
      <c r="A320" s="82" t="s">
        <v>995</v>
      </c>
      <c r="B320" s="82">
        <v>200513</v>
      </c>
      <c r="C320" s="188" t="s">
        <v>990</v>
      </c>
      <c r="D320" s="85" t="s">
        <v>630</v>
      </c>
      <c r="E320" s="82" t="s">
        <v>340</v>
      </c>
      <c r="F320" s="91">
        <v>2</v>
      </c>
      <c r="G320" s="91">
        <v>1901.6</v>
      </c>
      <c r="H320" s="91">
        <f t="shared" si="66"/>
        <v>2497.94</v>
      </c>
      <c r="I320" s="91">
        <f t="shared" si="94"/>
        <v>4995.88</v>
      </c>
      <c r="K320" s="50">
        <f t="shared" si="90"/>
        <v>4995.88</v>
      </c>
    </row>
    <row r="321" spans="1:11" s="6" customFormat="1">
      <c r="A321" s="184" t="s">
        <v>997</v>
      </c>
      <c r="B321" s="311" t="s">
        <v>998</v>
      </c>
      <c r="C321" s="312"/>
      <c r="D321" s="312"/>
      <c r="E321" s="312"/>
      <c r="F321" s="312"/>
      <c r="G321" s="312"/>
      <c r="H321" s="312"/>
      <c r="I321" s="313"/>
      <c r="K321" s="50">
        <f t="shared" ref="K321" si="95">H321*F321</f>
        <v>0</v>
      </c>
    </row>
    <row r="322" spans="1:11" s="6" customFormat="1" ht="30">
      <c r="A322" s="82" t="s">
        <v>999</v>
      </c>
      <c r="B322" s="82" t="s">
        <v>1000</v>
      </c>
      <c r="C322" s="90" t="s">
        <v>1175</v>
      </c>
      <c r="D322" s="85" t="s">
        <v>630</v>
      </c>
      <c r="E322" s="82" t="s">
        <v>340</v>
      </c>
      <c r="F322" s="91">
        <v>4</v>
      </c>
      <c r="G322" s="91">
        <v>2483.52</v>
      </c>
      <c r="H322" s="91">
        <f t="shared" si="66"/>
        <v>3262.35</v>
      </c>
      <c r="I322" s="91">
        <f t="shared" ref="I322" si="96">F322*H322</f>
        <v>13049.4</v>
      </c>
      <c r="K322" s="50">
        <f t="shared" ref="K322" si="97">H322*F322</f>
        <v>13049.4</v>
      </c>
    </row>
    <row r="323" spans="1:11" s="6" customFormat="1">
      <c r="A323" s="320" t="s">
        <v>904</v>
      </c>
      <c r="B323" s="320"/>
      <c r="C323" s="320"/>
      <c r="D323" s="320"/>
      <c r="E323" s="320"/>
      <c r="F323" s="320"/>
      <c r="G323" s="320"/>
      <c r="H323" s="320"/>
      <c r="I323" s="36">
        <f>SUM(I253:I322)</f>
        <v>345377.64</v>
      </c>
      <c r="K323" s="50">
        <f t="shared" si="65"/>
        <v>0</v>
      </c>
    </row>
    <row r="324" spans="1:11" ht="36.75" customHeight="1">
      <c r="A324" s="354" t="s">
        <v>518</v>
      </c>
      <c r="B324" s="354"/>
      <c r="C324" s="354"/>
      <c r="D324" s="354"/>
      <c r="E324" s="354"/>
      <c r="F324" s="354"/>
      <c r="G324" s="354"/>
      <c r="H324" s="354"/>
      <c r="I324" s="310">
        <f>I29+I37+I42+I50+I57+I60+I68+I77+I92+I99+I108+I117+I160+I201+I220+I224+I251+I323</f>
        <v>4671608.1399999997</v>
      </c>
      <c r="K324" s="50">
        <f>SUM(K12:K323)</f>
        <v>4671608.1399999997</v>
      </c>
    </row>
    <row r="325" spans="1:11">
      <c r="A325" s="75"/>
      <c r="B325" s="75"/>
      <c r="C325" s="75"/>
      <c r="D325" s="75"/>
      <c r="E325" s="75"/>
      <c r="F325" s="124"/>
      <c r="G325" s="76"/>
      <c r="H325" s="76"/>
      <c r="I325" s="76"/>
    </row>
    <row r="326" spans="1:11" s="6" customFormat="1">
      <c r="A326" s="75"/>
      <c r="B326" s="75"/>
      <c r="C326" s="75"/>
      <c r="D326" s="75"/>
      <c r="E326" s="75"/>
      <c r="F326" s="124"/>
      <c r="G326" s="76"/>
      <c r="H326" s="76"/>
      <c r="I326" s="76"/>
      <c r="K326" s="50"/>
    </row>
    <row r="327" spans="1:11" s="6" customFormat="1">
      <c r="A327" s="75"/>
      <c r="B327" s="75"/>
      <c r="C327" s="75"/>
      <c r="D327" s="75"/>
      <c r="E327" s="75"/>
      <c r="F327" s="124"/>
      <c r="G327" s="76"/>
      <c r="H327" s="76"/>
      <c r="I327" s="76"/>
      <c r="K327" s="50"/>
    </row>
    <row r="328" spans="1:11" ht="57" customHeight="1">
      <c r="A328" s="348" t="s">
        <v>1182</v>
      </c>
      <c r="B328" s="348"/>
      <c r="C328" s="348"/>
      <c r="D328" s="348"/>
      <c r="E328" s="348"/>
      <c r="F328" s="348"/>
      <c r="G328" s="348"/>
      <c r="H328" s="348"/>
      <c r="I328" s="348"/>
    </row>
    <row r="329" spans="1:11">
      <c r="A329" s="28"/>
      <c r="B329" s="28"/>
      <c r="C329" s="28"/>
      <c r="D329" s="28"/>
      <c r="E329" s="28"/>
      <c r="F329" s="30"/>
      <c r="G329" s="38"/>
      <c r="H329" s="38"/>
      <c r="I329" s="38"/>
    </row>
    <row r="330" spans="1:11" ht="45" customHeight="1">
      <c r="A330" s="28"/>
      <c r="B330" s="28"/>
      <c r="C330" s="28"/>
      <c r="D330" s="28"/>
      <c r="E330" s="28"/>
      <c r="F330" s="30"/>
      <c r="G330" s="38"/>
      <c r="H330" s="38"/>
      <c r="I330" s="38"/>
    </row>
    <row r="331" spans="1:11">
      <c r="A331" s="28"/>
      <c r="B331" s="28"/>
      <c r="C331" s="28"/>
      <c r="D331" s="28"/>
      <c r="E331" s="28"/>
      <c r="F331" s="30"/>
      <c r="G331" s="38"/>
      <c r="H331" s="38"/>
      <c r="I331" s="38"/>
    </row>
    <row r="332" spans="1:11">
      <c r="A332" s="28"/>
      <c r="B332" s="28"/>
      <c r="C332" s="28"/>
      <c r="D332" s="28"/>
      <c r="E332" s="28"/>
      <c r="F332" s="30"/>
      <c r="G332" s="38"/>
      <c r="H332" s="38"/>
      <c r="I332" s="38"/>
    </row>
    <row r="333" spans="1:11">
      <c r="A333" s="28"/>
      <c r="B333" s="28"/>
      <c r="C333" s="28"/>
      <c r="D333" s="28"/>
      <c r="E333" s="28"/>
      <c r="F333" s="30"/>
      <c r="G333" s="38"/>
      <c r="H333" s="38"/>
      <c r="I333" s="38"/>
    </row>
    <row r="334" spans="1:11">
      <c r="A334" s="28"/>
      <c r="B334" s="28"/>
      <c r="C334" s="28"/>
      <c r="D334" s="28"/>
      <c r="E334" s="28"/>
      <c r="F334" s="30"/>
      <c r="G334" s="38"/>
      <c r="H334" s="38"/>
      <c r="I334" s="38"/>
    </row>
    <row r="335" spans="1:11">
      <c r="A335" s="28"/>
      <c r="B335" s="346"/>
      <c r="C335" s="346"/>
      <c r="D335" s="346"/>
      <c r="E335" s="346"/>
      <c r="F335" s="346"/>
      <c r="G335" s="346"/>
      <c r="H335" s="346"/>
      <c r="I335" s="346"/>
    </row>
    <row r="336" spans="1:11">
      <c r="A336" s="28"/>
      <c r="B336" s="346"/>
      <c r="C336" s="346"/>
      <c r="D336" s="346"/>
      <c r="E336" s="346"/>
      <c r="F336" s="346"/>
      <c r="G336" s="346"/>
      <c r="H336" s="346"/>
      <c r="I336" s="346"/>
    </row>
    <row r="337" spans="1:9">
      <c r="A337" s="29"/>
      <c r="B337" s="29"/>
      <c r="C337" s="28"/>
      <c r="D337" s="29"/>
      <c r="E337" s="29"/>
      <c r="F337" s="30"/>
      <c r="G337" s="30"/>
      <c r="H337" s="30"/>
      <c r="I337" s="30"/>
    </row>
    <row r="338" spans="1:9">
      <c r="A338" s="28"/>
      <c r="B338" s="28"/>
      <c r="C338" s="28"/>
      <c r="D338" s="28"/>
      <c r="E338" s="28"/>
      <c r="F338" s="30"/>
      <c r="G338" s="38"/>
      <c r="H338" s="38"/>
      <c r="I338" s="38"/>
    </row>
    <row r="339" spans="1:9">
      <c r="A339" s="28"/>
      <c r="B339" s="28"/>
      <c r="C339" s="28"/>
      <c r="D339" s="28"/>
      <c r="E339" s="28"/>
      <c r="F339" s="30"/>
      <c r="G339" s="38"/>
      <c r="H339" s="38"/>
      <c r="I339" s="38"/>
    </row>
    <row r="340" spans="1:9">
      <c r="A340" s="28"/>
      <c r="B340" s="28"/>
      <c r="C340" s="28"/>
      <c r="D340" s="28"/>
      <c r="E340" s="28"/>
      <c r="F340" s="30"/>
      <c r="G340" s="38"/>
      <c r="H340" s="38"/>
      <c r="I340" s="38"/>
    </row>
    <row r="341" spans="1:9">
      <c r="A341" s="28"/>
      <c r="B341" s="28"/>
      <c r="C341" s="28"/>
      <c r="D341" s="28"/>
      <c r="E341" s="28"/>
      <c r="F341" s="30"/>
      <c r="G341" s="38"/>
      <c r="H341" s="38"/>
      <c r="I341" s="38"/>
    </row>
    <row r="342" spans="1:9">
      <c r="A342" s="28"/>
      <c r="B342" s="28"/>
      <c r="C342" s="28"/>
      <c r="D342" s="28"/>
      <c r="E342" s="28"/>
      <c r="F342" s="30"/>
      <c r="G342" s="38"/>
      <c r="H342" s="38"/>
      <c r="I342" s="38"/>
    </row>
    <row r="343" spans="1:9">
      <c r="A343" s="28"/>
      <c r="B343" s="28"/>
      <c r="C343" s="28"/>
      <c r="D343" s="28"/>
      <c r="E343" s="28"/>
      <c r="F343" s="30"/>
      <c r="G343" s="38"/>
      <c r="H343" s="38"/>
      <c r="I343" s="38"/>
    </row>
    <row r="344" spans="1:9">
      <c r="A344" s="28"/>
      <c r="B344" s="28"/>
      <c r="C344" s="28"/>
      <c r="D344" s="28"/>
      <c r="E344" s="28"/>
      <c r="F344" s="30"/>
      <c r="G344" s="38"/>
      <c r="H344" s="38"/>
      <c r="I344" s="38"/>
    </row>
    <row r="345" spans="1:9">
      <c r="A345" s="28"/>
      <c r="B345" s="28"/>
      <c r="C345" s="28"/>
      <c r="D345" s="28"/>
      <c r="E345" s="28"/>
      <c r="F345" s="30"/>
      <c r="G345" s="38"/>
      <c r="H345" s="38"/>
      <c r="I345" s="38"/>
    </row>
    <row r="346" spans="1:9">
      <c r="A346" s="28"/>
      <c r="B346" s="28"/>
      <c r="C346" s="28"/>
      <c r="D346" s="28"/>
      <c r="E346" s="28"/>
      <c r="F346" s="30"/>
      <c r="G346" s="38"/>
      <c r="H346" s="38"/>
      <c r="I346" s="38"/>
    </row>
    <row r="347" spans="1:9">
      <c r="A347" s="28"/>
      <c r="B347" s="28"/>
      <c r="C347" s="28"/>
      <c r="D347" s="28"/>
      <c r="E347" s="28"/>
      <c r="F347" s="30"/>
      <c r="G347" s="38"/>
      <c r="H347" s="38"/>
      <c r="I347" s="38"/>
    </row>
    <row r="348" spans="1:9">
      <c r="A348" s="28"/>
      <c r="B348" s="28"/>
      <c r="C348" s="28"/>
      <c r="D348" s="28"/>
      <c r="E348" s="28"/>
      <c r="F348" s="30"/>
      <c r="G348" s="38"/>
      <c r="H348" s="38"/>
      <c r="I348" s="38"/>
    </row>
    <row r="349" spans="1:9">
      <c r="A349" s="28"/>
      <c r="B349" s="28"/>
      <c r="C349" s="28"/>
      <c r="D349" s="28"/>
      <c r="E349" s="28"/>
      <c r="F349" s="30"/>
      <c r="G349" s="38"/>
      <c r="H349" s="38"/>
      <c r="I349" s="38"/>
    </row>
    <row r="350" spans="1:9">
      <c r="A350" s="28"/>
      <c r="B350" s="28"/>
      <c r="C350" s="28"/>
      <c r="D350" s="28"/>
      <c r="E350" s="28"/>
      <c r="F350" s="30"/>
      <c r="G350" s="38"/>
      <c r="H350" s="38"/>
      <c r="I350" s="38"/>
    </row>
    <row r="351" spans="1:9">
      <c r="A351" s="28"/>
      <c r="B351" s="28"/>
      <c r="C351" s="28"/>
      <c r="D351" s="28"/>
      <c r="E351" s="28"/>
      <c r="F351" s="30"/>
      <c r="G351" s="38"/>
      <c r="H351" s="38"/>
      <c r="I351" s="38"/>
    </row>
    <row r="352" spans="1:9">
      <c r="A352" s="28"/>
      <c r="B352" s="28"/>
      <c r="C352" s="28"/>
      <c r="D352" s="28"/>
      <c r="E352" s="28"/>
      <c r="F352" s="30"/>
      <c r="G352" s="38"/>
      <c r="H352" s="38"/>
      <c r="I352" s="38"/>
    </row>
    <row r="353" spans="1:9">
      <c r="A353" s="28"/>
      <c r="B353" s="28"/>
      <c r="C353" s="28"/>
      <c r="D353" s="28"/>
      <c r="E353" s="28"/>
      <c r="F353" s="30"/>
      <c r="G353" s="38"/>
      <c r="H353" s="38"/>
      <c r="I353" s="38"/>
    </row>
    <row r="354" spans="1:9">
      <c r="A354" s="28"/>
      <c r="B354" s="28"/>
      <c r="C354" s="28"/>
      <c r="D354" s="28"/>
      <c r="E354" s="28"/>
      <c r="F354" s="30"/>
      <c r="G354" s="38"/>
      <c r="H354" s="38"/>
      <c r="I354" s="38"/>
    </row>
    <row r="355" spans="1:9">
      <c r="A355" s="28"/>
      <c r="B355" s="28"/>
      <c r="C355" s="28"/>
      <c r="D355" s="28"/>
      <c r="E355" s="28"/>
      <c r="F355" s="30"/>
      <c r="G355" s="38"/>
      <c r="H355" s="38"/>
      <c r="I355" s="38"/>
    </row>
    <row r="356" spans="1:9">
      <c r="A356" s="28"/>
      <c r="B356" s="28"/>
      <c r="C356" s="28"/>
      <c r="D356" s="28"/>
      <c r="E356" s="28"/>
      <c r="F356" s="30"/>
      <c r="G356" s="38"/>
      <c r="H356" s="38"/>
      <c r="I356" s="38"/>
    </row>
    <row r="357" spans="1:9">
      <c r="A357" s="28"/>
      <c r="B357" s="28"/>
      <c r="C357" s="28"/>
      <c r="D357" s="28"/>
      <c r="E357" s="28"/>
      <c r="F357" s="30"/>
      <c r="G357" s="38"/>
      <c r="H357" s="38"/>
      <c r="I357" s="38"/>
    </row>
    <row r="358" spans="1:9">
      <c r="A358" s="28"/>
      <c r="B358" s="28"/>
      <c r="C358" s="28"/>
      <c r="D358" s="28"/>
      <c r="E358" s="28"/>
      <c r="F358" s="30"/>
      <c r="G358" s="38"/>
      <c r="H358" s="38"/>
      <c r="I358" s="38"/>
    </row>
    <row r="359" spans="1:9">
      <c r="A359" s="28"/>
      <c r="B359" s="28"/>
      <c r="C359" s="28"/>
      <c r="D359" s="28"/>
      <c r="E359" s="28"/>
      <c r="F359" s="30"/>
      <c r="G359" s="38"/>
      <c r="H359" s="38"/>
      <c r="I359" s="38"/>
    </row>
    <row r="360" spans="1:9">
      <c r="A360" s="28"/>
      <c r="B360" s="28"/>
      <c r="C360" s="28"/>
      <c r="D360" s="28"/>
      <c r="E360" s="28"/>
      <c r="F360" s="30"/>
      <c r="G360" s="38"/>
      <c r="H360" s="38"/>
      <c r="I360" s="38"/>
    </row>
    <row r="361" spans="1:9">
      <c r="A361" s="28"/>
      <c r="B361" s="28"/>
      <c r="C361" s="28"/>
      <c r="D361" s="28"/>
      <c r="E361" s="28"/>
      <c r="F361" s="30"/>
      <c r="G361" s="38"/>
      <c r="H361" s="38"/>
      <c r="I361" s="38"/>
    </row>
    <row r="362" spans="1:9">
      <c r="A362" s="28"/>
      <c r="B362" s="28"/>
      <c r="C362" s="28"/>
      <c r="D362" s="28"/>
      <c r="E362" s="28"/>
      <c r="F362" s="30"/>
      <c r="G362" s="38"/>
      <c r="H362" s="38"/>
      <c r="I362" s="38"/>
    </row>
    <row r="363" spans="1:9">
      <c r="A363" s="28"/>
      <c r="B363" s="28"/>
      <c r="C363" s="28"/>
      <c r="D363" s="28"/>
      <c r="E363" s="28"/>
      <c r="F363" s="30"/>
      <c r="G363" s="38"/>
      <c r="H363" s="38"/>
      <c r="I363" s="38"/>
    </row>
    <row r="364" spans="1:9">
      <c r="A364" s="28"/>
      <c r="B364" s="28"/>
      <c r="C364" s="28"/>
      <c r="D364" s="28"/>
      <c r="E364" s="28"/>
      <c r="F364" s="30"/>
      <c r="G364" s="38"/>
      <c r="H364" s="38"/>
      <c r="I364" s="38"/>
    </row>
    <row r="365" spans="1:9">
      <c r="A365" s="28"/>
      <c r="B365" s="28"/>
      <c r="C365" s="28"/>
      <c r="D365" s="28"/>
      <c r="E365" s="28"/>
      <c r="F365" s="30"/>
      <c r="G365" s="38"/>
      <c r="H365" s="38"/>
      <c r="I365" s="38"/>
    </row>
    <row r="366" spans="1:9">
      <c r="A366" s="28"/>
      <c r="B366" s="28"/>
      <c r="C366" s="28"/>
      <c r="D366" s="28"/>
      <c r="E366" s="28"/>
      <c r="F366" s="30"/>
      <c r="G366" s="38"/>
      <c r="H366" s="38"/>
      <c r="I366" s="38"/>
    </row>
    <row r="367" spans="1:9">
      <c r="A367" s="28"/>
      <c r="B367" s="28"/>
      <c r="C367" s="28"/>
      <c r="D367" s="28"/>
      <c r="E367" s="28"/>
      <c r="F367" s="30"/>
      <c r="G367" s="38"/>
      <c r="H367" s="38"/>
      <c r="I367" s="38"/>
    </row>
    <row r="368" spans="1:9">
      <c r="A368" s="28"/>
      <c r="B368" s="28"/>
      <c r="C368" s="28"/>
      <c r="D368" s="28"/>
      <c r="E368" s="28"/>
      <c r="F368" s="30"/>
      <c r="G368" s="38"/>
      <c r="H368" s="38"/>
      <c r="I368" s="38"/>
    </row>
    <row r="369" spans="1:9">
      <c r="A369" s="28"/>
      <c r="B369" s="28"/>
      <c r="C369" s="28"/>
      <c r="D369" s="28"/>
      <c r="E369" s="28"/>
      <c r="F369" s="30"/>
      <c r="G369" s="38"/>
      <c r="H369" s="38"/>
      <c r="I369" s="38"/>
    </row>
    <row r="370" spans="1:9">
      <c r="A370" s="28"/>
      <c r="B370" s="28"/>
      <c r="C370" s="28"/>
      <c r="D370" s="28"/>
      <c r="E370" s="28"/>
      <c r="F370" s="30"/>
      <c r="G370" s="38"/>
      <c r="H370" s="38"/>
      <c r="I370" s="38"/>
    </row>
    <row r="371" spans="1:9">
      <c r="A371" s="28"/>
      <c r="B371" s="28"/>
      <c r="C371" s="28"/>
      <c r="D371" s="28"/>
      <c r="E371" s="28"/>
      <c r="F371" s="30"/>
      <c r="G371" s="38"/>
      <c r="H371" s="38"/>
      <c r="I371" s="38"/>
    </row>
  </sheetData>
  <mergeCells count="78">
    <mergeCell ref="A324:H324"/>
    <mergeCell ref="A50:H50"/>
    <mergeCell ref="A57:H57"/>
    <mergeCell ref="A8:I8"/>
    <mergeCell ref="A92:H92"/>
    <mergeCell ref="B43:C43"/>
    <mergeCell ref="B112:C112"/>
    <mergeCell ref="B144:C144"/>
    <mergeCell ref="B211:C211"/>
    <mergeCell ref="B119:C119"/>
    <mergeCell ref="B75:C75"/>
    <mergeCell ref="B78:C78"/>
    <mergeCell ref="B79:C79"/>
    <mergeCell ref="B86:C86"/>
    <mergeCell ref="B93:C93"/>
    <mergeCell ref="B203:I203"/>
    <mergeCell ref="A328:I328"/>
    <mergeCell ref="B51:C51"/>
    <mergeCell ref="B58:C58"/>
    <mergeCell ref="A108:H108"/>
    <mergeCell ref="A117:H117"/>
    <mergeCell ref="A60:H60"/>
    <mergeCell ref="A68:H68"/>
    <mergeCell ref="A77:H77"/>
    <mergeCell ref="B70:C70"/>
    <mergeCell ref="B73:C73"/>
    <mergeCell ref="B110:C110"/>
    <mergeCell ref="A201:H201"/>
    <mergeCell ref="B106:H106"/>
    <mergeCell ref="B61:C61"/>
    <mergeCell ref="B69:C69"/>
    <mergeCell ref="A99:H99"/>
    <mergeCell ref="B336:I336"/>
    <mergeCell ref="A160:H160"/>
    <mergeCell ref="B161:I161"/>
    <mergeCell ref="B162:I162"/>
    <mergeCell ref="B193:I193"/>
    <mergeCell ref="B202:I202"/>
    <mergeCell ref="B221:I221"/>
    <mergeCell ref="A220:H220"/>
    <mergeCell ref="B225:I225"/>
    <mergeCell ref="B226:I226"/>
    <mergeCell ref="A251:H251"/>
    <mergeCell ref="B235:I235"/>
    <mergeCell ref="B241:I241"/>
    <mergeCell ref="B335:I335"/>
    <mergeCell ref="H1:I4"/>
    <mergeCell ref="A1:B4"/>
    <mergeCell ref="C1:F4"/>
    <mergeCell ref="A29:H29"/>
    <mergeCell ref="A42:H42"/>
    <mergeCell ref="B30:C30"/>
    <mergeCell ref="B31:C31"/>
    <mergeCell ref="A37:H37"/>
    <mergeCell ref="B38:C38"/>
    <mergeCell ref="A5:I5"/>
    <mergeCell ref="A6:I6"/>
    <mergeCell ref="G7:I7"/>
    <mergeCell ref="A7:F7"/>
    <mergeCell ref="A323:H323"/>
    <mergeCell ref="B292:I292"/>
    <mergeCell ref="B229:I229"/>
    <mergeCell ref="A224:H224"/>
    <mergeCell ref="B301:I301"/>
    <mergeCell ref="B312:I312"/>
    <mergeCell ref="B314:I314"/>
    <mergeCell ref="B321:I321"/>
    <mergeCell ref="B100:H100"/>
    <mergeCell ref="B101:H101"/>
    <mergeCell ref="B109:H109"/>
    <mergeCell ref="B115:I115"/>
    <mergeCell ref="B118:I118"/>
    <mergeCell ref="B252:I252"/>
    <mergeCell ref="B253:I253"/>
    <mergeCell ref="B256:I256"/>
    <mergeCell ref="B258:I258"/>
    <mergeCell ref="B263:I263"/>
    <mergeCell ref="B269:I269"/>
  </mergeCells>
  <phoneticPr fontId="78" type="noConversion"/>
  <printOptions horizontalCentered="1"/>
  <pageMargins left="0.31496062992125984" right="0.31496062992125984" top="0.59055118110236227" bottom="0.39370078740157483" header="0.31496062992125984" footer="0.31496062992125984"/>
  <pageSetup paperSize="9" scale="9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9A6B3-6DAA-4628-A34B-911EEF32B0A2}">
  <dimension ref="A1:Z115"/>
  <sheetViews>
    <sheetView workbookViewId="0">
      <selection activeCell="E25" sqref="E25"/>
    </sheetView>
  </sheetViews>
  <sheetFormatPr defaultColWidth="14.42578125" defaultRowHeight="15"/>
  <cols>
    <col min="1" max="1" width="3.5703125" style="6" customWidth="1"/>
    <col min="2" max="2" width="16.7109375" style="6" customWidth="1"/>
    <col min="3" max="3" width="49" style="6" customWidth="1"/>
    <col min="4" max="4" width="24.85546875" style="6" customWidth="1"/>
    <col min="5" max="5" width="17.28515625" style="6" customWidth="1"/>
    <col min="6" max="15" width="9.140625" style="6" customWidth="1"/>
    <col min="16" max="26" width="8.7109375" style="6" customWidth="1"/>
    <col min="27" max="16384" width="14.42578125" style="6"/>
  </cols>
  <sheetData>
    <row r="1" spans="1:26" ht="15.75" thickBot="1">
      <c r="A1" s="53"/>
      <c r="B1" s="53"/>
      <c r="C1" s="53"/>
      <c r="D1" s="53"/>
      <c r="E1" s="53"/>
      <c r="F1" s="53"/>
      <c r="G1" s="53"/>
      <c r="H1" s="53"/>
      <c r="I1" s="53"/>
      <c r="J1" s="53"/>
      <c r="K1" s="53"/>
      <c r="L1" s="53"/>
      <c r="M1" s="53"/>
      <c r="N1" s="53"/>
      <c r="O1" s="53"/>
      <c r="P1" s="53"/>
      <c r="Q1" s="53"/>
      <c r="R1" s="53"/>
      <c r="S1" s="53"/>
      <c r="T1" s="53"/>
      <c r="U1" s="53"/>
      <c r="V1" s="53"/>
      <c r="W1" s="53"/>
      <c r="X1" s="53"/>
      <c r="Y1" s="53"/>
      <c r="Z1" s="53"/>
    </row>
    <row r="2" spans="1:26">
      <c r="A2" s="53"/>
      <c r="B2" s="376" t="s">
        <v>728</v>
      </c>
      <c r="C2" s="377"/>
      <c r="D2" s="377"/>
      <c r="E2" s="378"/>
      <c r="F2" s="53"/>
      <c r="G2" s="53"/>
      <c r="H2" s="53"/>
      <c r="I2" s="53"/>
      <c r="J2" s="53"/>
      <c r="K2" s="53"/>
      <c r="L2" s="53"/>
      <c r="M2" s="53"/>
      <c r="N2" s="53"/>
      <c r="O2" s="53"/>
      <c r="P2" s="53"/>
      <c r="Q2" s="53"/>
      <c r="R2" s="53"/>
      <c r="S2" s="53"/>
      <c r="T2" s="53"/>
      <c r="U2" s="53"/>
      <c r="V2" s="53"/>
      <c r="W2" s="53"/>
      <c r="X2" s="53"/>
      <c r="Y2" s="53"/>
      <c r="Z2" s="53"/>
    </row>
    <row r="3" spans="1:26">
      <c r="A3" s="53"/>
      <c r="B3" s="379"/>
      <c r="C3" s="380"/>
      <c r="D3" s="380"/>
      <c r="E3" s="381"/>
      <c r="F3" s="53"/>
      <c r="G3" s="53"/>
      <c r="H3" s="53"/>
      <c r="I3" s="53"/>
      <c r="J3" s="53"/>
      <c r="K3" s="53"/>
      <c r="L3" s="53"/>
      <c r="M3" s="53"/>
      <c r="N3" s="53"/>
      <c r="O3" s="53"/>
      <c r="P3" s="53"/>
      <c r="Q3" s="53"/>
      <c r="R3" s="53"/>
      <c r="S3" s="53"/>
      <c r="T3" s="53"/>
      <c r="U3" s="53"/>
      <c r="V3" s="53"/>
      <c r="W3" s="53"/>
      <c r="X3" s="53"/>
      <c r="Y3" s="53"/>
      <c r="Z3" s="53"/>
    </row>
    <row r="4" spans="1:26">
      <c r="A4" s="53"/>
      <c r="B4" s="379"/>
      <c r="C4" s="380"/>
      <c r="D4" s="380"/>
      <c r="E4" s="381"/>
      <c r="F4" s="53"/>
      <c r="G4" s="53"/>
      <c r="H4" s="53"/>
      <c r="I4" s="53"/>
      <c r="J4" s="53"/>
      <c r="K4" s="53"/>
      <c r="L4" s="53"/>
      <c r="M4" s="53"/>
      <c r="N4" s="53"/>
      <c r="O4" s="53"/>
      <c r="P4" s="53"/>
      <c r="Q4" s="53"/>
      <c r="R4" s="53"/>
      <c r="S4" s="53"/>
      <c r="T4" s="53"/>
      <c r="U4" s="53"/>
      <c r="V4" s="53"/>
      <c r="W4" s="53"/>
      <c r="X4" s="53"/>
      <c r="Y4" s="53"/>
      <c r="Z4" s="53"/>
    </row>
    <row r="5" spans="1:26">
      <c r="A5" s="53"/>
      <c r="B5" s="379"/>
      <c r="C5" s="380"/>
      <c r="D5" s="380"/>
      <c r="E5" s="381"/>
      <c r="F5" s="53"/>
      <c r="G5" s="53"/>
      <c r="H5" s="53"/>
      <c r="I5" s="53"/>
      <c r="J5" s="53"/>
      <c r="K5" s="53"/>
      <c r="L5" s="53"/>
      <c r="M5" s="53"/>
      <c r="N5" s="53"/>
      <c r="O5" s="53"/>
      <c r="P5" s="53"/>
      <c r="Q5" s="53"/>
      <c r="R5" s="53"/>
      <c r="S5" s="53"/>
      <c r="T5" s="53"/>
      <c r="U5" s="53"/>
      <c r="V5" s="53"/>
      <c r="W5" s="53"/>
      <c r="X5" s="53"/>
      <c r="Y5" s="53"/>
      <c r="Z5" s="53"/>
    </row>
    <row r="6" spans="1:26">
      <c r="A6" s="53"/>
      <c r="B6" s="379"/>
      <c r="C6" s="380"/>
      <c r="D6" s="380"/>
      <c r="E6" s="381"/>
      <c r="F6" s="53"/>
      <c r="G6" s="53"/>
      <c r="H6" s="53"/>
      <c r="I6" s="53"/>
      <c r="J6" s="53"/>
      <c r="K6" s="53"/>
      <c r="L6" s="53"/>
      <c r="M6" s="53"/>
      <c r="N6" s="53"/>
      <c r="O6" s="53"/>
      <c r="P6" s="53"/>
      <c r="Q6" s="53"/>
      <c r="R6" s="53"/>
      <c r="S6" s="53"/>
      <c r="T6" s="53"/>
      <c r="U6" s="53"/>
      <c r="V6" s="53"/>
      <c r="W6" s="53"/>
      <c r="X6" s="53"/>
      <c r="Y6" s="53"/>
      <c r="Z6" s="53"/>
    </row>
    <row r="7" spans="1:26">
      <c r="A7" s="53"/>
      <c r="B7" s="379"/>
      <c r="C7" s="380"/>
      <c r="D7" s="380"/>
      <c r="E7" s="381"/>
      <c r="F7" s="53"/>
      <c r="G7" s="53"/>
      <c r="H7" s="53"/>
      <c r="I7" s="53"/>
      <c r="J7" s="53"/>
      <c r="K7" s="53"/>
      <c r="L7" s="53"/>
      <c r="M7" s="53"/>
      <c r="N7" s="53"/>
      <c r="O7" s="53"/>
      <c r="P7" s="53"/>
      <c r="Q7" s="53"/>
      <c r="R7" s="53"/>
      <c r="S7" s="53"/>
      <c r="T7" s="53"/>
      <c r="U7" s="53"/>
      <c r="V7" s="53"/>
      <c r="W7" s="53"/>
      <c r="X7" s="53"/>
      <c r="Y7" s="53"/>
      <c r="Z7" s="53"/>
    </row>
    <row r="8" spans="1:26" ht="15.75" thickBot="1">
      <c r="A8" s="53"/>
      <c r="B8" s="382"/>
      <c r="C8" s="383"/>
      <c r="D8" s="383"/>
      <c r="E8" s="384"/>
      <c r="F8" s="53"/>
      <c r="G8" s="53"/>
      <c r="H8" s="53"/>
      <c r="I8" s="53"/>
      <c r="J8" s="53"/>
      <c r="K8" s="53"/>
      <c r="L8" s="53"/>
      <c r="M8" s="53"/>
      <c r="N8" s="53"/>
      <c r="O8" s="53"/>
      <c r="P8" s="53"/>
      <c r="Q8" s="53"/>
      <c r="R8" s="53"/>
      <c r="S8" s="53"/>
      <c r="T8" s="53"/>
      <c r="U8" s="53"/>
      <c r="V8" s="53"/>
      <c r="W8" s="53"/>
      <c r="X8" s="53"/>
      <c r="Y8" s="53"/>
      <c r="Z8" s="53"/>
    </row>
    <row r="9" spans="1:26" ht="15.75" thickBot="1">
      <c r="A9" s="53"/>
      <c r="B9" s="54"/>
      <c r="C9" s="54"/>
      <c r="D9" s="54"/>
      <c r="E9" s="54"/>
      <c r="F9" s="53"/>
      <c r="G9" s="53"/>
      <c r="H9" s="53"/>
      <c r="I9" s="53"/>
      <c r="J9" s="53"/>
      <c r="K9" s="53"/>
      <c r="L9" s="53"/>
      <c r="M9" s="53"/>
      <c r="N9" s="53"/>
      <c r="O9" s="53"/>
      <c r="P9" s="53"/>
      <c r="Q9" s="53"/>
      <c r="R9" s="53"/>
      <c r="S9" s="53"/>
      <c r="T9" s="53"/>
      <c r="U9" s="53"/>
      <c r="V9" s="53"/>
      <c r="W9" s="53"/>
      <c r="X9" s="53"/>
      <c r="Y9" s="53"/>
      <c r="Z9" s="53"/>
    </row>
    <row r="10" spans="1:26">
      <c r="A10" s="53"/>
      <c r="B10" s="389" t="s">
        <v>821</v>
      </c>
      <c r="C10" s="390"/>
      <c r="D10" s="390"/>
      <c r="E10" s="391"/>
      <c r="F10" s="53"/>
      <c r="G10" s="53"/>
      <c r="H10" s="53"/>
      <c r="I10" s="53"/>
      <c r="J10" s="53"/>
      <c r="K10" s="53"/>
      <c r="L10" s="53"/>
      <c r="M10" s="53"/>
      <c r="N10" s="53"/>
      <c r="O10" s="53"/>
      <c r="P10" s="53"/>
      <c r="Q10" s="53"/>
      <c r="R10" s="53"/>
      <c r="S10" s="53"/>
      <c r="T10" s="53"/>
      <c r="U10" s="53"/>
      <c r="V10" s="53"/>
      <c r="W10" s="53"/>
      <c r="X10" s="53"/>
      <c r="Y10" s="53"/>
      <c r="Z10" s="53"/>
    </row>
    <row r="11" spans="1:26">
      <c r="A11" s="53"/>
      <c r="B11" s="392" t="s">
        <v>822</v>
      </c>
      <c r="C11" s="393"/>
      <c r="D11" s="393"/>
      <c r="E11" s="394"/>
      <c r="F11" s="56"/>
      <c r="G11" s="53"/>
      <c r="H11" s="53"/>
      <c r="I11" s="53"/>
      <c r="J11" s="53"/>
      <c r="K11" s="53"/>
      <c r="L11" s="53"/>
      <c r="M11" s="53"/>
      <c r="N11" s="53"/>
      <c r="O11" s="53"/>
      <c r="P11" s="53"/>
      <c r="Q11" s="53"/>
      <c r="R11" s="53"/>
      <c r="S11" s="53"/>
      <c r="T11" s="53"/>
      <c r="U11" s="53"/>
      <c r="V11" s="53"/>
      <c r="W11" s="53"/>
      <c r="X11" s="53"/>
      <c r="Y11" s="53"/>
      <c r="Z11" s="53"/>
    </row>
    <row r="12" spans="1:26" ht="15.75" thickBot="1">
      <c r="A12" s="53"/>
      <c r="B12" s="395" t="s">
        <v>823</v>
      </c>
      <c r="C12" s="396"/>
      <c r="D12" s="396"/>
      <c r="E12" s="397"/>
      <c r="F12" s="56"/>
      <c r="G12" s="53"/>
      <c r="H12" s="53"/>
      <c r="I12" s="53"/>
      <c r="J12" s="53"/>
      <c r="K12" s="53"/>
      <c r="L12" s="53"/>
      <c r="M12" s="53"/>
      <c r="N12" s="53"/>
      <c r="O12" s="53"/>
      <c r="P12" s="53"/>
      <c r="Q12" s="53"/>
      <c r="R12" s="53"/>
      <c r="S12" s="53"/>
      <c r="T12" s="53"/>
      <c r="U12" s="53"/>
      <c r="V12" s="53"/>
      <c r="W12" s="53"/>
      <c r="X12" s="53"/>
      <c r="Y12" s="53"/>
      <c r="Z12" s="53"/>
    </row>
    <row r="13" spans="1:26" ht="15.75" thickBot="1">
      <c r="A13" s="53"/>
      <c r="B13" s="55"/>
      <c r="C13" s="55"/>
      <c r="D13" s="55"/>
      <c r="E13" s="55"/>
      <c r="F13" s="56"/>
      <c r="G13" s="53"/>
      <c r="H13" s="53"/>
      <c r="I13" s="53"/>
      <c r="J13" s="53"/>
      <c r="K13" s="53"/>
      <c r="L13" s="53"/>
      <c r="M13" s="53"/>
      <c r="N13" s="53"/>
      <c r="O13" s="53"/>
      <c r="P13" s="53"/>
      <c r="Q13" s="53"/>
      <c r="R13" s="53"/>
      <c r="S13" s="53"/>
      <c r="T13" s="53"/>
      <c r="U13" s="53"/>
      <c r="V13" s="53"/>
      <c r="W13" s="53"/>
      <c r="X13" s="53"/>
      <c r="Y13" s="53"/>
      <c r="Z13" s="53"/>
    </row>
    <row r="14" spans="1:26" ht="16.5" thickBot="1">
      <c r="A14" s="53"/>
      <c r="B14" s="385" t="s">
        <v>713</v>
      </c>
      <c r="C14" s="386"/>
      <c r="D14" s="386"/>
      <c r="E14" s="387"/>
      <c r="F14" s="56"/>
      <c r="G14" s="53"/>
      <c r="H14" s="53"/>
      <c r="I14" s="53"/>
      <c r="J14" s="53"/>
      <c r="K14" s="53"/>
      <c r="L14" s="53"/>
      <c r="M14" s="53"/>
      <c r="N14" s="53"/>
      <c r="O14" s="53"/>
    </row>
    <row r="15" spans="1:26" ht="15" customHeight="1">
      <c r="A15" s="53"/>
      <c r="B15" s="361" t="s">
        <v>714</v>
      </c>
      <c r="C15" s="362"/>
      <c r="D15" s="362"/>
      <c r="E15" s="362"/>
      <c r="F15" s="53"/>
      <c r="G15" s="53"/>
      <c r="H15" s="53"/>
      <c r="I15" s="53"/>
      <c r="J15" s="53"/>
      <c r="K15" s="53"/>
      <c r="L15" s="53"/>
      <c r="M15" s="53"/>
      <c r="N15" s="53"/>
      <c r="O15" s="53"/>
    </row>
    <row r="16" spans="1:26">
      <c r="A16" s="53"/>
      <c r="B16" s="388" t="s">
        <v>0</v>
      </c>
      <c r="C16" s="388"/>
      <c r="D16" s="388"/>
      <c r="E16" s="57" t="s">
        <v>715</v>
      </c>
      <c r="F16" s="53"/>
      <c r="G16" s="53"/>
      <c r="H16" s="53"/>
      <c r="I16" s="53"/>
      <c r="J16" s="53"/>
      <c r="K16" s="53"/>
      <c r="L16" s="53"/>
      <c r="M16" s="53"/>
      <c r="N16" s="53"/>
      <c r="O16" s="53"/>
    </row>
    <row r="17" spans="1:15">
      <c r="A17" s="53"/>
      <c r="B17" s="360" t="s">
        <v>716</v>
      </c>
      <c r="C17" s="360"/>
      <c r="D17" s="360"/>
      <c r="E17" s="58">
        <v>3.26</v>
      </c>
      <c r="F17" s="53"/>
      <c r="G17" s="53"/>
      <c r="H17" s="53"/>
      <c r="I17" s="53"/>
      <c r="J17" s="53"/>
      <c r="K17" s="53"/>
      <c r="L17" s="53"/>
      <c r="M17" s="53"/>
      <c r="N17" s="53"/>
      <c r="O17" s="53"/>
    </row>
    <row r="18" spans="1:15">
      <c r="A18" s="53"/>
      <c r="B18" s="360" t="s">
        <v>717</v>
      </c>
      <c r="C18" s="360"/>
      <c r="D18" s="360"/>
      <c r="E18" s="58">
        <v>7.63</v>
      </c>
      <c r="F18" s="53"/>
      <c r="G18" s="53"/>
      <c r="H18" s="53"/>
      <c r="I18" s="53"/>
      <c r="J18" s="53"/>
      <c r="K18" s="53"/>
      <c r="L18" s="53"/>
      <c r="M18" s="53"/>
      <c r="N18" s="53"/>
      <c r="O18" s="53"/>
    </row>
    <row r="19" spans="1:15" ht="15.75" customHeight="1">
      <c r="A19" s="53"/>
      <c r="B19" s="360" t="s">
        <v>718</v>
      </c>
      <c r="C19" s="360"/>
      <c r="D19" s="360"/>
      <c r="E19" s="58"/>
      <c r="F19" s="53"/>
      <c r="G19" s="53"/>
      <c r="H19" s="53"/>
      <c r="I19" s="53"/>
      <c r="J19" s="53"/>
      <c r="K19" s="53"/>
      <c r="L19" s="53"/>
      <c r="M19" s="53"/>
      <c r="N19" s="53"/>
      <c r="O19" s="53"/>
    </row>
    <row r="20" spans="1:15" ht="15.75" customHeight="1">
      <c r="A20" s="53"/>
      <c r="B20" s="375" t="s">
        <v>719</v>
      </c>
      <c r="C20" s="375"/>
      <c r="D20" s="375"/>
      <c r="E20" s="58">
        <v>5</v>
      </c>
      <c r="F20" s="53"/>
      <c r="G20" s="53"/>
      <c r="H20" s="53"/>
      <c r="I20" s="53"/>
      <c r="J20" s="53"/>
      <c r="K20" s="53"/>
      <c r="L20" s="53"/>
      <c r="M20" s="53"/>
      <c r="N20" s="53"/>
      <c r="O20" s="53"/>
    </row>
    <row r="21" spans="1:15" ht="15.75" customHeight="1">
      <c r="A21" s="53"/>
      <c r="B21" s="375" t="s">
        <v>720</v>
      </c>
      <c r="C21" s="375"/>
      <c r="D21" s="375"/>
      <c r="E21" s="58">
        <v>0.65</v>
      </c>
      <c r="F21" s="53"/>
      <c r="G21" s="53"/>
      <c r="H21" s="53"/>
      <c r="I21" s="53"/>
      <c r="J21" s="53"/>
      <c r="K21" s="53"/>
      <c r="L21" s="53"/>
      <c r="M21" s="53"/>
      <c r="N21" s="53"/>
      <c r="O21" s="53"/>
    </row>
    <row r="22" spans="1:15" ht="15.75" customHeight="1">
      <c r="A22" s="53"/>
      <c r="B22" s="375" t="s">
        <v>721</v>
      </c>
      <c r="C22" s="375"/>
      <c r="D22" s="375"/>
      <c r="E22" s="58">
        <v>3</v>
      </c>
      <c r="F22" s="53"/>
      <c r="G22" s="53"/>
      <c r="H22" s="53"/>
      <c r="I22" s="53"/>
      <c r="J22" s="53"/>
      <c r="K22" s="53"/>
      <c r="L22" s="53"/>
      <c r="M22" s="53"/>
      <c r="N22" s="53"/>
      <c r="O22" s="53"/>
    </row>
    <row r="23" spans="1:15" ht="15.75" customHeight="1">
      <c r="A23" s="53"/>
      <c r="B23" s="360" t="s">
        <v>722</v>
      </c>
      <c r="C23" s="360"/>
      <c r="D23" s="360"/>
      <c r="E23" s="58">
        <v>0.61</v>
      </c>
      <c r="F23" s="53"/>
      <c r="G23" s="53"/>
      <c r="H23" s="53"/>
      <c r="I23" s="53"/>
      <c r="J23" s="53"/>
      <c r="K23" s="53"/>
      <c r="L23" s="53"/>
      <c r="M23" s="53"/>
      <c r="N23" s="53"/>
      <c r="O23" s="53"/>
    </row>
    <row r="24" spans="1:15" ht="15.75" customHeight="1">
      <c r="A24" s="53"/>
      <c r="B24" s="360" t="s">
        <v>723</v>
      </c>
      <c r="C24" s="360"/>
      <c r="D24" s="360"/>
      <c r="E24" s="58">
        <v>1.5</v>
      </c>
      <c r="F24" s="53"/>
      <c r="G24" s="53"/>
      <c r="H24" s="53"/>
      <c r="I24" s="53"/>
      <c r="J24" s="53"/>
      <c r="K24" s="53"/>
      <c r="L24" s="53"/>
      <c r="M24" s="53"/>
      <c r="N24" s="53"/>
      <c r="O24" s="53"/>
    </row>
    <row r="25" spans="1:15" ht="15.75" customHeight="1">
      <c r="A25" s="53"/>
      <c r="B25" s="360" t="s">
        <v>724</v>
      </c>
      <c r="C25" s="360"/>
      <c r="D25" s="360"/>
      <c r="E25" s="58">
        <v>7</v>
      </c>
      <c r="F25" s="53"/>
      <c r="G25" s="53"/>
      <c r="H25" s="53"/>
      <c r="I25" s="53"/>
      <c r="J25" s="53"/>
      <c r="K25" s="53"/>
      <c r="L25" s="53"/>
      <c r="M25" s="53"/>
      <c r="N25" s="53"/>
      <c r="O25" s="53"/>
    </row>
    <row r="26" spans="1:15" ht="15.75" customHeight="1">
      <c r="A26" s="53"/>
      <c r="B26" s="59"/>
      <c r="C26" s="60"/>
      <c r="D26" s="60"/>
      <c r="E26" s="60"/>
      <c r="F26" s="53"/>
      <c r="G26" s="53"/>
      <c r="H26" s="53"/>
      <c r="I26" s="53"/>
      <c r="J26" s="53"/>
      <c r="K26" s="53"/>
      <c r="L26" s="53"/>
      <c r="M26" s="53"/>
      <c r="N26" s="53"/>
      <c r="O26" s="53"/>
    </row>
    <row r="27" spans="1:15" ht="15.75" customHeight="1">
      <c r="A27" s="53"/>
      <c r="B27" s="361" t="s">
        <v>725</v>
      </c>
      <c r="C27" s="362"/>
      <c r="D27" s="362"/>
      <c r="E27" s="362"/>
      <c r="F27" s="53"/>
      <c r="G27" s="53"/>
      <c r="H27" s="53"/>
      <c r="I27" s="53"/>
      <c r="J27" s="53"/>
      <c r="K27" s="53"/>
      <c r="L27" s="53"/>
      <c r="M27" s="53"/>
      <c r="N27" s="53"/>
      <c r="O27" s="53"/>
    </row>
    <row r="28" spans="1:15" ht="15.75" customHeight="1">
      <c r="A28" s="53"/>
      <c r="B28" s="59"/>
      <c r="C28" s="59"/>
      <c r="D28" s="59"/>
      <c r="E28" s="59"/>
      <c r="F28" s="53"/>
      <c r="G28" s="53"/>
      <c r="H28" s="53"/>
      <c r="I28" s="53"/>
      <c r="J28" s="53"/>
      <c r="K28" s="53"/>
      <c r="L28" s="53"/>
      <c r="M28" s="53"/>
      <c r="N28" s="53"/>
      <c r="O28" s="53"/>
    </row>
    <row r="29" spans="1:15" ht="15.75" customHeight="1">
      <c r="A29" s="53"/>
      <c r="B29" s="363" t="s">
        <v>726</v>
      </c>
      <c r="C29" s="364"/>
      <c r="D29" s="364"/>
      <c r="E29" s="365"/>
      <c r="F29" s="53"/>
      <c r="G29" s="53"/>
      <c r="H29" s="53"/>
      <c r="I29" s="53"/>
      <c r="J29" s="53"/>
      <c r="K29" s="53"/>
      <c r="L29" s="53"/>
      <c r="M29" s="53"/>
      <c r="N29" s="53"/>
      <c r="O29" s="53"/>
    </row>
    <row r="30" spans="1:15" ht="15.75" customHeight="1">
      <c r="A30" s="53"/>
      <c r="B30" s="366"/>
      <c r="C30" s="367"/>
      <c r="D30" s="367"/>
      <c r="E30" s="368"/>
      <c r="F30" s="53"/>
      <c r="G30" s="53"/>
      <c r="H30" s="53"/>
      <c r="I30" s="53"/>
      <c r="J30" s="53"/>
      <c r="K30" s="53"/>
      <c r="L30" s="53"/>
      <c r="M30" s="53"/>
      <c r="N30" s="53"/>
      <c r="O30" s="53"/>
    </row>
    <row r="31" spans="1:15" ht="15.75" customHeight="1">
      <c r="A31" s="53"/>
      <c r="B31" s="369"/>
      <c r="C31" s="370"/>
      <c r="D31" s="370"/>
      <c r="E31" s="371"/>
      <c r="F31" s="53"/>
      <c r="G31" s="53"/>
      <c r="H31" s="53"/>
      <c r="I31" s="53"/>
      <c r="J31" s="53"/>
      <c r="K31" s="53"/>
      <c r="L31" s="53"/>
      <c r="M31" s="53"/>
      <c r="N31" s="53"/>
      <c r="O31" s="53"/>
    </row>
    <row r="32" spans="1:15" ht="15.75" customHeight="1">
      <c r="A32" s="53"/>
      <c r="B32" s="61"/>
      <c r="C32" s="61"/>
      <c r="D32" s="61"/>
      <c r="E32" s="61"/>
      <c r="F32" s="53"/>
      <c r="G32" s="53"/>
      <c r="H32" s="53"/>
      <c r="I32" s="53"/>
      <c r="J32" s="53"/>
      <c r="K32" s="53"/>
      <c r="L32" s="53"/>
      <c r="M32" s="53"/>
      <c r="N32" s="53"/>
      <c r="O32" s="53"/>
    </row>
    <row r="33" spans="1:26" ht="24" customHeight="1">
      <c r="A33" s="62"/>
      <c r="B33" s="372" t="s">
        <v>727</v>
      </c>
      <c r="C33" s="373"/>
      <c r="D33" s="374"/>
      <c r="E33" s="63">
        <f>((E17+E18+E23+E25+E24)/100+1)/(1-(E20+E21+E22)/100)-1</f>
        <v>0.31359999999999999</v>
      </c>
      <c r="F33" s="62"/>
      <c r="G33" s="62"/>
      <c r="H33" s="62"/>
      <c r="I33" s="62"/>
      <c r="J33" s="62"/>
      <c r="K33" s="62"/>
      <c r="L33" s="62"/>
      <c r="M33" s="62"/>
      <c r="N33" s="62"/>
      <c r="O33" s="62"/>
      <c r="P33" s="64"/>
      <c r="Q33" s="64"/>
      <c r="R33" s="64"/>
      <c r="S33" s="64"/>
      <c r="T33" s="64"/>
      <c r="U33" s="64"/>
      <c r="V33" s="64"/>
      <c r="W33" s="64"/>
      <c r="X33" s="64"/>
      <c r="Y33" s="64"/>
      <c r="Z33" s="64"/>
    </row>
    <row r="34" spans="1:26" ht="15.75" customHeight="1">
      <c r="A34" s="53"/>
      <c r="B34" s="53"/>
      <c r="C34" s="53"/>
      <c r="D34" s="53"/>
      <c r="E34" s="53"/>
      <c r="F34" s="53"/>
      <c r="G34" s="53"/>
      <c r="H34" s="53"/>
      <c r="I34" s="53"/>
      <c r="J34" s="53"/>
      <c r="K34" s="53"/>
      <c r="L34" s="53"/>
      <c r="M34" s="53"/>
      <c r="N34" s="53"/>
      <c r="O34" s="53"/>
      <c r="P34" s="53"/>
      <c r="Q34" s="53"/>
      <c r="R34" s="53"/>
      <c r="S34" s="53"/>
      <c r="T34" s="53"/>
      <c r="U34" s="53"/>
      <c r="V34" s="53"/>
      <c r="W34" s="53"/>
      <c r="X34" s="53"/>
      <c r="Y34" s="53"/>
      <c r="Z34" s="53"/>
    </row>
    <row r="35" spans="1:26" ht="15.75" customHeight="1">
      <c r="A35" s="53"/>
      <c r="B35" s="53"/>
      <c r="C35" s="53"/>
      <c r="D35" s="53"/>
      <c r="E35" s="53"/>
      <c r="F35" s="53"/>
      <c r="G35" s="53"/>
      <c r="H35" s="53"/>
      <c r="I35" s="53"/>
      <c r="J35" s="53"/>
      <c r="K35" s="53"/>
      <c r="L35" s="53"/>
      <c r="M35" s="53"/>
      <c r="N35" s="53"/>
      <c r="O35" s="53"/>
      <c r="P35" s="53"/>
      <c r="Q35" s="53"/>
      <c r="R35" s="53"/>
      <c r="S35" s="53"/>
      <c r="T35" s="53"/>
      <c r="U35" s="53"/>
      <c r="V35" s="53"/>
      <c r="W35" s="53"/>
      <c r="X35" s="53"/>
      <c r="Y35" s="53"/>
      <c r="Z35" s="53"/>
    </row>
    <row r="36" spans="1:26" ht="15.75" customHeight="1">
      <c r="A36" s="53"/>
      <c r="B36" s="53"/>
      <c r="C36" s="53"/>
      <c r="D36" s="53"/>
      <c r="E36" s="53"/>
      <c r="F36" s="53"/>
      <c r="G36" s="53"/>
      <c r="H36" s="53"/>
      <c r="I36" s="53"/>
      <c r="J36" s="53"/>
      <c r="K36" s="53"/>
      <c r="L36" s="53"/>
      <c r="M36" s="53"/>
      <c r="N36" s="53"/>
      <c r="O36" s="53"/>
      <c r="P36" s="53"/>
      <c r="Q36" s="53"/>
      <c r="R36" s="53"/>
      <c r="S36" s="53"/>
      <c r="T36" s="53"/>
      <c r="U36" s="53"/>
      <c r="V36" s="53"/>
      <c r="W36" s="53"/>
      <c r="X36" s="53"/>
      <c r="Y36" s="53"/>
      <c r="Z36" s="53"/>
    </row>
    <row r="37" spans="1:26" ht="15.75" customHeight="1">
      <c r="A37" s="53"/>
      <c r="B37" s="53"/>
      <c r="C37" s="53"/>
      <c r="D37" s="53"/>
      <c r="E37" s="53"/>
      <c r="F37" s="53"/>
      <c r="G37" s="53"/>
      <c r="H37" s="53"/>
      <c r="I37" s="53"/>
      <c r="J37" s="53"/>
      <c r="K37" s="53"/>
      <c r="L37" s="53"/>
      <c r="M37" s="53"/>
      <c r="N37" s="53"/>
      <c r="O37" s="53"/>
      <c r="P37" s="53"/>
      <c r="Q37" s="53"/>
      <c r="R37" s="53"/>
      <c r="S37" s="53"/>
      <c r="T37" s="53"/>
      <c r="U37" s="53"/>
      <c r="V37" s="53"/>
      <c r="W37" s="53"/>
      <c r="X37" s="53"/>
      <c r="Y37" s="53"/>
      <c r="Z37" s="53"/>
    </row>
    <row r="38" spans="1:26" ht="15.75" customHeight="1">
      <c r="A38" s="53"/>
      <c r="B38" s="53"/>
      <c r="C38" s="53"/>
      <c r="D38" s="53"/>
      <c r="E38" s="53"/>
      <c r="F38" s="53"/>
      <c r="G38" s="53"/>
      <c r="H38" s="53"/>
      <c r="I38" s="53"/>
      <c r="J38" s="53"/>
      <c r="K38" s="53"/>
      <c r="L38" s="53"/>
      <c r="M38" s="53"/>
      <c r="N38" s="53"/>
      <c r="O38" s="53"/>
      <c r="P38" s="53"/>
      <c r="Q38" s="53"/>
      <c r="R38" s="53"/>
      <c r="S38" s="53"/>
      <c r="T38" s="53"/>
      <c r="U38" s="53"/>
      <c r="V38" s="53"/>
      <c r="W38" s="53"/>
      <c r="X38" s="53"/>
      <c r="Y38" s="53"/>
      <c r="Z38" s="53"/>
    </row>
    <row r="39" spans="1:26" ht="15.75" customHeight="1">
      <c r="A39" s="53"/>
      <c r="B39" s="53"/>
      <c r="C39" s="53"/>
      <c r="D39" s="53"/>
      <c r="E39" s="53"/>
      <c r="F39" s="53"/>
      <c r="G39" s="53"/>
      <c r="H39" s="53"/>
      <c r="I39" s="53"/>
      <c r="J39" s="53"/>
      <c r="K39" s="53"/>
      <c r="L39" s="53"/>
      <c r="M39" s="53"/>
      <c r="N39" s="53"/>
      <c r="O39" s="53"/>
      <c r="P39" s="53"/>
      <c r="Q39" s="53"/>
      <c r="R39" s="53"/>
      <c r="S39" s="53"/>
      <c r="T39" s="53"/>
      <c r="U39" s="53"/>
      <c r="V39" s="53"/>
      <c r="W39" s="53"/>
      <c r="X39" s="53"/>
      <c r="Y39" s="53"/>
      <c r="Z39" s="53"/>
    </row>
    <row r="40" spans="1:26" ht="15.75" customHeight="1">
      <c r="A40" s="53"/>
      <c r="B40" s="53"/>
      <c r="C40" s="53"/>
      <c r="D40" s="53"/>
      <c r="E40" s="53"/>
      <c r="F40" s="53"/>
      <c r="G40" s="53"/>
      <c r="H40" s="53"/>
      <c r="I40" s="53"/>
      <c r="J40" s="53"/>
      <c r="K40" s="53"/>
      <c r="L40" s="53"/>
      <c r="M40" s="53"/>
      <c r="N40" s="53"/>
      <c r="O40" s="53"/>
      <c r="P40" s="53"/>
      <c r="Q40" s="53"/>
      <c r="R40" s="53"/>
      <c r="S40" s="53"/>
      <c r="T40" s="53"/>
      <c r="U40" s="53"/>
      <c r="V40" s="53"/>
      <c r="W40" s="53"/>
      <c r="X40" s="53"/>
      <c r="Y40" s="53"/>
      <c r="Z40" s="53"/>
    </row>
    <row r="41" spans="1:26" ht="15.7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row>
    <row r="42" spans="1:26" ht="15.7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row>
    <row r="43" spans="1:26" ht="15.7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row>
    <row r="44" spans="1:26" ht="15.75" customHeight="1">
      <c r="A44" s="53"/>
      <c r="B44" s="53"/>
      <c r="C44" s="53"/>
      <c r="D44" s="53"/>
      <c r="E44" s="53"/>
      <c r="F44" s="53"/>
      <c r="G44" s="53"/>
      <c r="H44" s="53"/>
      <c r="I44" s="53"/>
      <c r="J44" s="53"/>
      <c r="K44" s="53"/>
      <c r="L44" s="53"/>
      <c r="M44" s="53"/>
      <c r="N44" s="53"/>
      <c r="O44" s="53"/>
      <c r="P44" s="53"/>
      <c r="Q44" s="53"/>
      <c r="R44" s="53"/>
      <c r="S44" s="53"/>
      <c r="T44" s="53"/>
      <c r="U44" s="53"/>
      <c r="V44" s="53"/>
      <c r="W44" s="53"/>
      <c r="X44" s="53"/>
      <c r="Y44" s="53"/>
      <c r="Z44" s="53"/>
    </row>
    <row r="45" spans="1:26" ht="15.75" customHeight="1">
      <c r="A45" s="53"/>
      <c r="B45" s="53"/>
      <c r="C45" s="53"/>
      <c r="D45" s="53"/>
      <c r="E45" s="53"/>
      <c r="F45" s="53"/>
      <c r="G45" s="53"/>
      <c r="H45" s="53"/>
      <c r="I45" s="53"/>
      <c r="J45" s="53"/>
      <c r="K45" s="53"/>
      <c r="L45" s="53"/>
      <c r="M45" s="53"/>
      <c r="N45" s="53"/>
      <c r="O45" s="53"/>
      <c r="P45" s="53"/>
      <c r="Q45" s="53"/>
      <c r="R45" s="53"/>
      <c r="S45" s="53"/>
      <c r="T45" s="53"/>
      <c r="U45" s="53"/>
      <c r="V45" s="53"/>
      <c r="W45" s="53"/>
      <c r="X45" s="53"/>
      <c r="Y45" s="53"/>
      <c r="Z45" s="53"/>
    </row>
    <row r="46" spans="1:26" ht="15.75" customHeight="1">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row>
    <row r="47" spans="1:26" ht="15.75" customHeight="1">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row>
    <row r="48" spans="1:26" ht="15.75" customHeight="1">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row>
    <row r="49" spans="1:26" ht="15.75" customHeight="1">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row>
    <row r="50" spans="1:26" ht="15.75" customHeight="1">
      <c r="A50" s="53"/>
      <c r="B50" s="53"/>
      <c r="C50" s="53"/>
      <c r="D50" s="53"/>
      <c r="E50" s="53"/>
      <c r="F50" s="53"/>
      <c r="G50" s="53"/>
      <c r="H50" s="53"/>
      <c r="I50" s="53"/>
      <c r="J50" s="53"/>
      <c r="K50" s="53"/>
      <c r="L50" s="53"/>
      <c r="M50" s="53"/>
      <c r="N50" s="53"/>
      <c r="O50" s="53"/>
      <c r="P50" s="53"/>
      <c r="Q50" s="53"/>
      <c r="R50" s="53"/>
      <c r="S50" s="53"/>
      <c r="T50" s="53"/>
      <c r="U50" s="53"/>
      <c r="V50" s="53"/>
      <c r="W50" s="53"/>
      <c r="X50" s="53"/>
      <c r="Y50" s="53"/>
      <c r="Z50" s="53"/>
    </row>
    <row r="51" spans="1:26" ht="15.75" customHeight="1">
      <c r="A51" s="53"/>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row r="52" spans="1:26" ht="15.75" customHeight="1">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row>
    <row r="53" spans="1:26" ht="15.75" customHeight="1">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row r="54" spans="1:26" ht="15.75" customHeight="1">
      <c r="A54" s="53"/>
      <c r="B54" s="53"/>
      <c r="C54" s="53"/>
      <c r="D54" s="53"/>
      <c r="E54" s="53"/>
      <c r="F54" s="53"/>
      <c r="G54" s="53"/>
      <c r="H54" s="53"/>
      <c r="I54" s="53"/>
      <c r="J54" s="53"/>
      <c r="K54" s="53"/>
      <c r="L54" s="53"/>
      <c r="M54" s="53"/>
      <c r="N54" s="53"/>
      <c r="O54" s="53"/>
      <c r="P54" s="53"/>
      <c r="Q54" s="53"/>
      <c r="R54" s="53"/>
      <c r="S54" s="53"/>
      <c r="T54" s="53"/>
      <c r="U54" s="53"/>
      <c r="V54" s="53"/>
      <c r="W54" s="53"/>
      <c r="X54" s="53"/>
      <c r="Y54" s="53"/>
      <c r="Z54" s="53"/>
    </row>
    <row r="55" spans="1:26" ht="15.75" customHeight="1">
      <c r="A55" s="53"/>
      <c r="B55" s="53"/>
      <c r="C55" s="53"/>
      <c r="D55" s="53"/>
      <c r="E55" s="53"/>
      <c r="F55" s="53"/>
      <c r="G55" s="53"/>
      <c r="H55" s="53"/>
      <c r="I55" s="53"/>
      <c r="J55" s="53"/>
      <c r="K55" s="53"/>
      <c r="L55" s="53"/>
      <c r="M55" s="53"/>
      <c r="N55" s="53"/>
      <c r="O55" s="53"/>
      <c r="P55" s="53"/>
      <c r="Q55" s="53"/>
      <c r="R55" s="53"/>
      <c r="S55" s="53"/>
      <c r="T55" s="53"/>
      <c r="U55" s="53"/>
      <c r="V55" s="53"/>
      <c r="W55" s="53"/>
      <c r="X55" s="53"/>
      <c r="Y55" s="53"/>
      <c r="Z55" s="53"/>
    </row>
    <row r="56" spans="1:26" ht="15.75" customHeight="1">
      <c r="A56" s="53"/>
      <c r="B56" s="53"/>
      <c r="C56" s="53"/>
      <c r="D56" s="53"/>
      <c r="E56" s="53"/>
      <c r="F56" s="53"/>
      <c r="G56" s="53"/>
      <c r="H56" s="53"/>
      <c r="I56" s="53"/>
      <c r="J56" s="53"/>
      <c r="K56" s="53"/>
      <c r="L56" s="53"/>
      <c r="M56" s="53"/>
      <c r="N56" s="53"/>
      <c r="O56" s="53"/>
      <c r="P56" s="53"/>
      <c r="Q56" s="53"/>
      <c r="R56" s="53"/>
      <c r="S56" s="53"/>
      <c r="T56" s="53"/>
      <c r="U56" s="53"/>
      <c r="V56" s="53"/>
      <c r="W56" s="53"/>
      <c r="X56" s="53"/>
      <c r="Y56" s="53"/>
      <c r="Z56" s="53"/>
    </row>
    <row r="57" spans="1:26" ht="15.75" customHeight="1">
      <c r="A57" s="53"/>
      <c r="B57" s="53"/>
      <c r="C57" s="53"/>
      <c r="D57" s="53"/>
      <c r="E57" s="53"/>
      <c r="F57" s="53"/>
      <c r="G57" s="53"/>
      <c r="H57" s="53"/>
      <c r="I57" s="53"/>
      <c r="J57" s="53"/>
      <c r="K57" s="53"/>
      <c r="L57" s="53"/>
      <c r="M57" s="53"/>
      <c r="N57" s="53"/>
      <c r="O57" s="53"/>
      <c r="P57" s="53"/>
      <c r="Q57" s="53"/>
      <c r="R57" s="53"/>
      <c r="S57" s="53"/>
      <c r="T57" s="53"/>
      <c r="U57" s="53"/>
      <c r="V57" s="53"/>
      <c r="W57" s="53"/>
      <c r="X57" s="53"/>
      <c r="Y57" s="53"/>
      <c r="Z57" s="53"/>
    </row>
    <row r="58" spans="1:26" ht="15.75" customHeight="1">
      <c r="A58" s="53"/>
      <c r="B58" s="53"/>
      <c r="C58" s="53"/>
      <c r="D58" s="53"/>
      <c r="E58" s="53"/>
      <c r="F58" s="53"/>
      <c r="G58" s="53"/>
      <c r="H58" s="53"/>
      <c r="I58" s="53"/>
      <c r="J58" s="53"/>
      <c r="K58" s="53"/>
      <c r="L58" s="53"/>
      <c r="M58" s="53"/>
      <c r="N58" s="53"/>
      <c r="O58" s="53"/>
      <c r="P58" s="53"/>
      <c r="Q58" s="53"/>
      <c r="R58" s="53"/>
      <c r="S58" s="53"/>
      <c r="T58" s="53"/>
      <c r="U58" s="53"/>
      <c r="V58" s="53"/>
      <c r="W58" s="53"/>
      <c r="X58" s="53"/>
      <c r="Y58" s="53"/>
      <c r="Z58" s="53"/>
    </row>
    <row r="59" spans="1:26" ht="15.75" customHeight="1">
      <c r="A59" s="53"/>
      <c r="B59" s="53"/>
      <c r="C59" s="53"/>
      <c r="D59" s="53"/>
      <c r="E59" s="53"/>
      <c r="F59" s="53"/>
      <c r="G59" s="53"/>
      <c r="H59" s="53"/>
      <c r="I59" s="53"/>
      <c r="J59" s="53"/>
      <c r="K59" s="53"/>
      <c r="L59" s="53"/>
      <c r="M59" s="53"/>
      <c r="N59" s="53"/>
      <c r="O59" s="53"/>
      <c r="P59" s="53"/>
      <c r="Q59" s="53"/>
      <c r="R59" s="53"/>
      <c r="S59" s="53"/>
      <c r="T59" s="53"/>
      <c r="U59" s="53"/>
      <c r="V59" s="53"/>
      <c r="W59" s="53"/>
      <c r="X59" s="53"/>
      <c r="Y59" s="53"/>
      <c r="Z59" s="53"/>
    </row>
    <row r="60" spans="1:26" ht="15.75" customHeight="1">
      <c r="A60" s="53"/>
      <c r="B60" s="53"/>
      <c r="C60" s="53"/>
      <c r="D60" s="53"/>
      <c r="E60" s="53"/>
      <c r="F60" s="53"/>
      <c r="G60" s="53"/>
      <c r="H60" s="53"/>
      <c r="I60" s="53"/>
      <c r="J60" s="53"/>
      <c r="K60" s="53"/>
      <c r="L60" s="53"/>
      <c r="M60" s="53"/>
      <c r="N60" s="53"/>
      <c r="O60" s="53"/>
      <c r="P60" s="53"/>
      <c r="Q60" s="53"/>
      <c r="R60" s="53"/>
      <c r="S60" s="53"/>
      <c r="T60" s="53"/>
      <c r="U60" s="53"/>
      <c r="V60" s="53"/>
      <c r="W60" s="53"/>
      <c r="X60" s="53"/>
      <c r="Y60" s="53"/>
      <c r="Z60" s="53"/>
    </row>
    <row r="61" spans="1:26" ht="15.75" customHeight="1">
      <c r="A61" s="53"/>
      <c r="B61" s="53"/>
      <c r="C61" s="53"/>
      <c r="D61" s="53"/>
      <c r="E61" s="53"/>
      <c r="F61" s="53"/>
      <c r="G61" s="53"/>
      <c r="H61" s="53"/>
      <c r="I61" s="53"/>
      <c r="J61" s="53"/>
      <c r="K61" s="53"/>
      <c r="L61" s="53"/>
      <c r="M61" s="53"/>
      <c r="N61" s="53"/>
      <c r="O61" s="53"/>
      <c r="P61" s="53"/>
      <c r="Q61" s="53"/>
      <c r="R61" s="53"/>
      <c r="S61" s="53"/>
      <c r="T61" s="53"/>
      <c r="U61" s="53"/>
      <c r="V61" s="53"/>
      <c r="W61" s="53"/>
      <c r="X61" s="53"/>
      <c r="Y61" s="53"/>
      <c r="Z61" s="53"/>
    </row>
    <row r="62" spans="1:26" ht="15.75" customHeight="1">
      <c r="A62" s="53"/>
      <c r="B62" s="53"/>
      <c r="C62" s="53"/>
      <c r="D62" s="53"/>
      <c r="E62" s="53"/>
      <c r="F62" s="53"/>
      <c r="G62" s="53"/>
      <c r="H62" s="53"/>
      <c r="I62" s="53"/>
      <c r="J62" s="53"/>
      <c r="K62" s="53"/>
      <c r="L62" s="53"/>
      <c r="M62" s="53"/>
      <c r="N62" s="53"/>
      <c r="O62" s="53"/>
      <c r="P62" s="53"/>
      <c r="Q62" s="53"/>
      <c r="R62" s="53"/>
      <c r="S62" s="53"/>
      <c r="T62" s="53"/>
      <c r="U62" s="53"/>
      <c r="V62" s="53"/>
      <c r="W62" s="53"/>
      <c r="X62" s="53"/>
      <c r="Y62" s="53"/>
      <c r="Z62" s="53"/>
    </row>
    <row r="63" spans="1:26" ht="15.75" customHeight="1">
      <c r="A63" s="53"/>
      <c r="B63" s="53"/>
      <c r="C63" s="53"/>
      <c r="D63" s="53"/>
      <c r="E63" s="53"/>
      <c r="F63" s="53"/>
      <c r="G63" s="53"/>
      <c r="H63" s="53"/>
      <c r="I63" s="53"/>
      <c r="J63" s="53"/>
      <c r="K63" s="53"/>
      <c r="L63" s="53"/>
      <c r="M63" s="53"/>
      <c r="N63" s="53"/>
      <c r="O63" s="53"/>
      <c r="P63" s="53"/>
      <c r="Q63" s="53"/>
      <c r="R63" s="53"/>
      <c r="S63" s="53"/>
      <c r="T63" s="53"/>
      <c r="U63" s="53"/>
      <c r="V63" s="53"/>
      <c r="W63" s="53"/>
      <c r="X63" s="53"/>
      <c r="Y63" s="53"/>
      <c r="Z63" s="53"/>
    </row>
    <row r="64" spans="1:26" ht="15.75" customHeight="1">
      <c r="A64" s="53"/>
      <c r="B64" s="53"/>
      <c r="C64" s="53"/>
      <c r="D64" s="53"/>
      <c r="E64" s="53"/>
      <c r="F64" s="53"/>
      <c r="G64" s="53"/>
      <c r="H64" s="53"/>
      <c r="I64" s="53"/>
      <c r="J64" s="53"/>
      <c r="K64" s="53"/>
      <c r="L64" s="53"/>
      <c r="M64" s="53"/>
      <c r="N64" s="53"/>
      <c r="O64" s="53"/>
      <c r="P64" s="53"/>
      <c r="Q64" s="53"/>
      <c r="R64" s="53"/>
      <c r="S64" s="53"/>
      <c r="T64" s="53"/>
      <c r="U64" s="53"/>
      <c r="V64" s="53"/>
      <c r="W64" s="53"/>
      <c r="X64" s="53"/>
      <c r="Y64" s="53"/>
      <c r="Z64" s="53"/>
    </row>
    <row r="65" spans="1:26" ht="15.75" customHeight="1">
      <c r="A65" s="53"/>
      <c r="B65" s="53"/>
      <c r="C65" s="53"/>
      <c r="D65" s="53"/>
      <c r="E65" s="53"/>
      <c r="F65" s="53"/>
      <c r="G65" s="53"/>
      <c r="H65" s="53"/>
      <c r="I65" s="53"/>
      <c r="J65" s="53"/>
      <c r="K65" s="53"/>
      <c r="L65" s="53"/>
      <c r="M65" s="53"/>
      <c r="N65" s="53"/>
      <c r="O65" s="53"/>
      <c r="P65" s="53"/>
      <c r="Q65" s="53"/>
      <c r="R65" s="53"/>
      <c r="S65" s="53"/>
      <c r="T65" s="53"/>
      <c r="U65" s="53"/>
      <c r="V65" s="53"/>
      <c r="W65" s="53"/>
      <c r="X65" s="53"/>
      <c r="Y65" s="53"/>
      <c r="Z65" s="53"/>
    </row>
    <row r="66" spans="1:26" ht="15.75" customHeight="1">
      <c r="A66" s="53"/>
      <c r="B66" s="53"/>
      <c r="C66" s="53"/>
      <c r="D66" s="53"/>
      <c r="E66" s="53"/>
      <c r="F66" s="53"/>
      <c r="G66" s="53"/>
      <c r="H66" s="53"/>
      <c r="I66" s="53"/>
      <c r="J66" s="53"/>
      <c r="K66" s="53"/>
      <c r="L66" s="53"/>
      <c r="M66" s="53"/>
      <c r="N66" s="53"/>
      <c r="O66" s="53"/>
      <c r="P66" s="53"/>
      <c r="Q66" s="53"/>
      <c r="R66" s="53"/>
      <c r="S66" s="53"/>
      <c r="T66" s="53"/>
      <c r="U66" s="53"/>
      <c r="V66" s="53"/>
      <c r="W66" s="53"/>
      <c r="X66" s="53"/>
      <c r="Y66" s="53"/>
      <c r="Z66" s="53"/>
    </row>
    <row r="67" spans="1:26" ht="15.75" customHeight="1">
      <c r="A67" s="53"/>
      <c r="B67" s="53"/>
      <c r="C67" s="53"/>
      <c r="D67" s="53"/>
      <c r="E67" s="53"/>
      <c r="F67" s="53"/>
      <c r="G67" s="53"/>
      <c r="H67" s="53"/>
      <c r="I67" s="53"/>
      <c r="J67" s="53"/>
      <c r="K67" s="53"/>
      <c r="L67" s="53"/>
      <c r="M67" s="53"/>
      <c r="N67" s="53"/>
      <c r="O67" s="53"/>
      <c r="P67" s="53"/>
      <c r="Q67" s="53"/>
      <c r="R67" s="53"/>
      <c r="S67" s="53"/>
      <c r="T67" s="53"/>
      <c r="U67" s="53"/>
      <c r="V67" s="53"/>
      <c r="W67" s="53"/>
      <c r="X67" s="53"/>
      <c r="Y67" s="53"/>
      <c r="Z67" s="53"/>
    </row>
    <row r="68" spans="1:26" ht="15.75" customHeight="1">
      <c r="A68" s="53"/>
      <c r="F68" s="53"/>
      <c r="G68" s="53"/>
      <c r="H68" s="53"/>
      <c r="I68" s="53"/>
      <c r="J68" s="53"/>
      <c r="K68" s="53"/>
      <c r="L68" s="53"/>
      <c r="M68" s="53"/>
      <c r="N68" s="53"/>
      <c r="O68" s="53"/>
    </row>
    <row r="69" spans="1:26" ht="15.75" customHeight="1">
      <c r="A69" s="53"/>
      <c r="F69" s="53"/>
      <c r="G69" s="53"/>
      <c r="H69" s="53"/>
      <c r="I69" s="53"/>
      <c r="J69" s="53"/>
      <c r="K69" s="53"/>
      <c r="L69" s="53"/>
      <c r="M69" s="53"/>
      <c r="N69" s="53"/>
      <c r="O69" s="53"/>
    </row>
    <row r="70" spans="1:26" ht="15.75" customHeight="1">
      <c r="A70" s="53"/>
      <c r="F70" s="53"/>
      <c r="G70" s="53"/>
      <c r="H70" s="53"/>
      <c r="I70" s="53"/>
      <c r="J70" s="53"/>
      <c r="K70" s="53"/>
      <c r="L70" s="53"/>
      <c r="M70" s="53"/>
      <c r="N70" s="53"/>
      <c r="O70" s="53"/>
    </row>
    <row r="71" spans="1:26" ht="15.75" customHeight="1">
      <c r="A71" s="53"/>
      <c r="F71" s="53"/>
      <c r="G71" s="53"/>
      <c r="H71" s="53"/>
      <c r="I71" s="53"/>
      <c r="J71" s="53"/>
      <c r="K71" s="53"/>
      <c r="L71" s="53"/>
      <c r="M71" s="53"/>
      <c r="N71" s="53"/>
      <c r="O71" s="53"/>
    </row>
    <row r="72" spans="1:26" ht="15.75" customHeight="1">
      <c r="A72" s="53"/>
      <c r="F72" s="53"/>
      <c r="G72" s="53"/>
      <c r="H72" s="53"/>
      <c r="I72" s="53"/>
      <c r="J72" s="53"/>
      <c r="K72" s="53"/>
      <c r="L72" s="53"/>
      <c r="M72" s="53"/>
      <c r="N72" s="53"/>
      <c r="O72" s="53"/>
    </row>
    <row r="73" spans="1:26" ht="15.75" customHeight="1">
      <c r="A73" s="53"/>
      <c r="F73" s="53"/>
      <c r="G73" s="53"/>
      <c r="H73" s="53"/>
      <c r="I73" s="53"/>
      <c r="J73" s="53"/>
      <c r="K73" s="53"/>
      <c r="L73" s="53"/>
      <c r="M73" s="53"/>
      <c r="N73" s="53"/>
      <c r="O73" s="53"/>
    </row>
    <row r="74" spans="1:26" ht="15.75" customHeight="1">
      <c r="A74" s="53"/>
      <c r="F74" s="53"/>
      <c r="G74" s="53"/>
      <c r="H74" s="53"/>
      <c r="I74" s="53"/>
      <c r="J74" s="53"/>
      <c r="K74" s="53"/>
      <c r="L74" s="53"/>
      <c r="M74" s="53"/>
      <c r="N74" s="53"/>
      <c r="O74" s="53"/>
    </row>
    <row r="75" spans="1:26" ht="15.75" customHeight="1">
      <c r="A75" s="53"/>
      <c r="F75" s="53"/>
      <c r="G75" s="53"/>
      <c r="H75" s="53"/>
      <c r="I75" s="53"/>
      <c r="J75" s="53"/>
      <c r="K75" s="53"/>
      <c r="L75" s="53"/>
      <c r="M75" s="53"/>
      <c r="N75" s="53"/>
      <c r="O75" s="53"/>
    </row>
    <row r="76" spans="1:26" ht="15.75" customHeight="1">
      <c r="A76" s="53"/>
      <c r="F76" s="53"/>
      <c r="G76" s="53"/>
      <c r="H76" s="53"/>
      <c r="I76" s="53"/>
      <c r="J76" s="53"/>
      <c r="K76" s="53"/>
      <c r="L76" s="53"/>
      <c r="M76" s="53"/>
      <c r="N76" s="53"/>
      <c r="O76" s="53"/>
    </row>
    <row r="77" spans="1:26" ht="15.75" customHeight="1">
      <c r="A77" s="53"/>
      <c r="F77" s="53"/>
      <c r="G77" s="53"/>
      <c r="H77" s="53"/>
      <c r="I77" s="53"/>
      <c r="J77" s="53"/>
      <c r="K77" s="53"/>
      <c r="L77" s="53"/>
      <c r="M77" s="53"/>
      <c r="N77" s="53"/>
      <c r="O77" s="53"/>
    </row>
    <row r="78" spans="1:26" ht="15.75" customHeight="1">
      <c r="A78" s="53"/>
      <c r="F78" s="53"/>
      <c r="G78" s="53"/>
      <c r="H78" s="53"/>
      <c r="I78" s="53"/>
      <c r="J78" s="53"/>
      <c r="K78" s="53"/>
      <c r="L78" s="53"/>
      <c r="M78" s="53"/>
      <c r="N78" s="53"/>
      <c r="O78" s="53"/>
    </row>
    <row r="79" spans="1:26" ht="15.75" customHeight="1">
      <c r="A79" s="53"/>
      <c r="F79" s="53"/>
      <c r="G79" s="53"/>
      <c r="H79" s="53"/>
      <c r="I79" s="53"/>
      <c r="J79" s="53"/>
      <c r="K79" s="53"/>
      <c r="L79" s="53"/>
      <c r="M79" s="53"/>
      <c r="N79" s="53"/>
      <c r="O79" s="53"/>
    </row>
    <row r="80" spans="1:26" ht="15.75" customHeight="1">
      <c r="A80" s="53"/>
      <c r="F80" s="53"/>
      <c r="G80" s="53"/>
      <c r="H80" s="53"/>
      <c r="I80" s="53"/>
      <c r="J80" s="53"/>
      <c r="K80" s="53"/>
      <c r="L80" s="53"/>
      <c r="M80" s="53"/>
      <c r="N80" s="53"/>
      <c r="O80" s="53"/>
    </row>
    <row r="81" spans="1:15" ht="15.75" customHeight="1">
      <c r="A81" s="53"/>
      <c r="F81" s="53"/>
      <c r="G81" s="53"/>
      <c r="H81" s="53"/>
      <c r="I81" s="53"/>
      <c r="J81" s="53"/>
      <c r="K81" s="53"/>
      <c r="L81" s="53"/>
      <c r="M81" s="53"/>
      <c r="N81" s="53"/>
      <c r="O81" s="53"/>
    </row>
    <row r="82" spans="1:15" ht="15.75" customHeight="1">
      <c r="A82" s="53"/>
      <c r="F82" s="53"/>
      <c r="G82" s="53"/>
      <c r="H82" s="53"/>
      <c r="I82" s="53"/>
      <c r="J82" s="53"/>
      <c r="K82" s="53"/>
      <c r="L82" s="53"/>
      <c r="M82" s="53"/>
      <c r="N82" s="53"/>
      <c r="O82" s="53"/>
    </row>
    <row r="83" spans="1:15" ht="15.75" customHeight="1">
      <c r="A83" s="53"/>
      <c r="F83" s="53"/>
      <c r="G83" s="53"/>
      <c r="H83" s="53"/>
      <c r="I83" s="53"/>
      <c r="J83" s="53"/>
      <c r="K83" s="53"/>
      <c r="L83" s="53"/>
      <c r="M83" s="53"/>
      <c r="N83" s="53"/>
      <c r="O83" s="53"/>
    </row>
    <row r="84" spans="1:15" ht="15.75" customHeight="1">
      <c r="A84" s="53"/>
      <c r="F84" s="53"/>
      <c r="G84" s="53"/>
      <c r="H84" s="53"/>
      <c r="I84" s="53"/>
      <c r="J84" s="53"/>
      <c r="K84" s="53"/>
      <c r="L84" s="53"/>
      <c r="M84" s="53"/>
      <c r="N84" s="53"/>
      <c r="O84" s="53"/>
    </row>
    <row r="85" spans="1:15" ht="15.75" customHeight="1">
      <c r="A85" s="53"/>
      <c r="F85" s="53"/>
      <c r="G85" s="53"/>
      <c r="H85" s="53"/>
      <c r="I85" s="53"/>
      <c r="J85" s="53"/>
      <c r="K85" s="53"/>
      <c r="L85" s="53"/>
      <c r="M85" s="53"/>
      <c r="N85" s="53"/>
      <c r="O85" s="53"/>
    </row>
    <row r="86" spans="1:15" ht="15.75" customHeight="1">
      <c r="A86" s="53"/>
      <c r="F86" s="53"/>
      <c r="G86" s="53"/>
      <c r="H86" s="53"/>
      <c r="I86" s="53"/>
      <c r="J86" s="53"/>
      <c r="K86" s="53"/>
      <c r="L86" s="53"/>
      <c r="M86" s="53"/>
      <c r="N86" s="53"/>
      <c r="O86" s="53"/>
    </row>
    <row r="87" spans="1:15" ht="15.75" customHeight="1">
      <c r="A87" s="53"/>
      <c r="F87" s="53"/>
      <c r="G87" s="53"/>
      <c r="H87" s="53"/>
      <c r="I87" s="53"/>
      <c r="J87" s="53"/>
      <c r="K87" s="53"/>
      <c r="L87" s="53"/>
      <c r="M87" s="53"/>
      <c r="N87" s="53"/>
      <c r="O87" s="53"/>
    </row>
    <row r="88" spans="1:15" ht="15.75" customHeight="1">
      <c r="A88" s="53"/>
      <c r="F88" s="53"/>
      <c r="G88" s="53"/>
      <c r="H88" s="53"/>
      <c r="I88" s="53"/>
      <c r="J88" s="53"/>
      <c r="K88" s="53"/>
      <c r="L88" s="53"/>
      <c r="M88" s="53"/>
      <c r="N88" s="53"/>
      <c r="O88" s="53"/>
    </row>
    <row r="89" spans="1:15" ht="15.75" customHeight="1">
      <c r="A89" s="53"/>
      <c r="F89" s="53"/>
      <c r="G89" s="53"/>
      <c r="H89" s="53"/>
      <c r="I89" s="53"/>
      <c r="J89" s="53"/>
      <c r="K89" s="53"/>
      <c r="L89" s="53"/>
      <c r="M89" s="53"/>
      <c r="N89" s="53"/>
      <c r="O89" s="53"/>
    </row>
    <row r="90" spans="1:15" ht="15.75" customHeight="1">
      <c r="A90" s="53"/>
      <c r="F90" s="53"/>
      <c r="G90" s="53"/>
      <c r="H90" s="53"/>
      <c r="I90" s="53"/>
      <c r="J90" s="53"/>
      <c r="K90" s="53"/>
      <c r="L90" s="53"/>
      <c r="M90" s="53"/>
      <c r="N90" s="53"/>
      <c r="O90" s="53"/>
    </row>
    <row r="91" spans="1:15" ht="15.75" customHeight="1">
      <c r="A91" s="53"/>
      <c r="F91" s="53"/>
      <c r="G91" s="53"/>
      <c r="H91" s="53"/>
      <c r="I91" s="53"/>
      <c r="J91" s="53"/>
      <c r="K91" s="53"/>
      <c r="L91" s="53"/>
      <c r="M91" s="53"/>
      <c r="N91" s="53"/>
      <c r="O91" s="53"/>
    </row>
    <row r="92" spans="1:15" ht="15.75" customHeight="1">
      <c r="A92" s="53"/>
      <c r="F92" s="53"/>
      <c r="G92" s="53"/>
      <c r="H92" s="53"/>
      <c r="I92" s="53"/>
      <c r="J92" s="53"/>
      <c r="K92" s="53"/>
      <c r="L92" s="53"/>
      <c r="M92" s="53"/>
      <c r="N92" s="53"/>
      <c r="O92" s="53"/>
    </row>
    <row r="93" spans="1:15" ht="15.75" customHeight="1">
      <c r="A93" s="53"/>
      <c r="F93" s="53"/>
      <c r="G93" s="53"/>
      <c r="H93" s="53"/>
      <c r="I93" s="53"/>
      <c r="J93" s="53"/>
      <c r="K93" s="53"/>
      <c r="L93" s="53"/>
      <c r="M93" s="53"/>
      <c r="N93" s="53"/>
      <c r="O93" s="53"/>
    </row>
    <row r="94" spans="1:15" ht="15.75" customHeight="1">
      <c r="A94" s="53"/>
      <c r="F94" s="53"/>
      <c r="G94" s="53"/>
      <c r="H94" s="53"/>
      <c r="I94" s="53"/>
      <c r="J94" s="53"/>
      <c r="K94" s="53"/>
      <c r="L94" s="53"/>
      <c r="M94" s="53"/>
      <c r="N94" s="53"/>
      <c r="O94" s="53"/>
    </row>
    <row r="95" spans="1:15" ht="15.75" customHeight="1">
      <c r="A95" s="53"/>
      <c r="F95" s="53"/>
      <c r="G95" s="53"/>
      <c r="H95" s="53"/>
      <c r="I95" s="53"/>
      <c r="J95" s="53"/>
      <c r="K95" s="53"/>
      <c r="L95" s="53"/>
      <c r="M95" s="53"/>
      <c r="N95" s="53"/>
      <c r="O95" s="53"/>
    </row>
    <row r="96" spans="1:15" ht="15.75" customHeight="1">
      <c r="A96" s="53"/>
      <c r="F96" s="53"/>
      <c r="G96" s="53"/>
      <c r="H96" s="53"/>
      <c r="I96" s="53"/>
      <c r="J96" s="53"/>
      <c r="K96" s="53"/>
      <c r="L96" s="53"/>
      <c r="M96" s="53"/>
      <c r="N96" s="53"/>
      <c r="O96" s="53"/>
    </row>
    <row r="97" spans="1:15" ht="15.75" customHeight="1">
      <c r="A97" s="53"/>
      <c r="F97" s="53"/>
      <c r="G97" s="53"/>
      <c r="H97" s="53"/>
      <c r="I97" s="53"/>
      <c r="J97" s="53"/>
      <c r="K97" s="53"/>
      <c r="L97" s="53"/>
      <c r="M97" s="53"/>
      <c r="N97" s="53"/>
      <c r="O97" s="53"/>
    </row>
    <row r="98" spans="1:15" ht="15.75" customHeight="1">
      <c r="A98" s="53"/>
      <c r="F98" s="53"/>
      <c r="G98" s="53"/>
      <c r="H98" s="53"/>
      <c r="I98" s="53"/>
      <c r="J98" s="53"/>
      <c r="K98" s="53"/>
      <c r="L98" s="53"/>
      <c r="M98" s="53"/>
      <c r="N98" s="53"/>
      <c r="O98" s="53"/>
    </row>
    <row r="99" spans="1:15" ht="15.75" customHeight="1">
      <c r="A99" s="53"/>
      <c r="F99" s="53"/>
      <c r="G99" s="53"/>
      <c r="H99" s="53"/>
      <c r="I99" s="53"/>
      <c r="J99" s="53"/>
      <c r="K99" s="53"/>
      <c r="L99" s="53"/>
      <c r="M99" s="53"/>
      <c r="N99" s="53"/>
      <c r="O99" s="53"/>
    </row>
    <row r="100" spans="1:15" ht="15.75" customHeight="1">
      <c r="A100" s="53"/>
      <c r="F100" s="53"/>
      <c r="G100" s="53"/>
      <c r="H100" s="53"/>
      <c r="I100" s="53"/>
      <c r="J100" s="53"/>
      <c r="K100" s="53"/>
      <c r="L100" s="53"/>
      <c r="M100" s="53"/>
      <c r="N100" s="53"/>
      <c r="O100" s="53"/>
    </row>
    <row r="101" spans="1:15" ht="15.75" customHeight="1">
      <c r="A101" s="53"/>
      <c r="F101" s="53"/>
      <c r="G101" s="53"/>
      <c r="H101" s="53"/>
      <c r="I101" s="53"/>
      <c r="J101" s="53"/>
      <c r="K101" s="53"/>
      <c r="L101" s="53"/>
      <c r="M101" s="53"/>
      <c r="N101" s="53"/>
      <c r="O101" s="53"/>
    </row>
    <row r="102" spans="1:15" ht="15.75" customHeight="1">
      <c r="A102" s="53"/>
      <c r="F102" s="53"/>
      <c r="G102" s="53"/>
      <c r="H102" s="53"/>
      <c r="I102" s="53"/>
      <c r="J102" s="53"/>
      <c r="K102" s="53"/>
      <c r="L102" s="53"/>
      <c r="M102" s="53"/>
      <c r="N102" s="53"/>
      <c r="O102" s="53"/>
    </row>
    <row r="103" spans="1:15" ht="15.75" customHeight="1">
      <c r="A103" s="53"/>
      <c r="F103" s="53"/>
      <c r="G103" s="53"/>
      <c r="H103" s="53"/>
      <c r="I103" s="53"/>
      <c r="J103" s="53"/>
      <c r="K103" s="53"/>
      <c r="L103" s="53"/>
      <c r="M103" s="53"/>
      <c r="N103" s="53"/>
      <c r="O103" s="53"/>
    </row>
    <row r="104" spans="1:15" ht="15.75" customHeight="1">
      <c r="A104" s="53"/>
      <c r="F104" s="53"/>
      <c r="G104" s="53"/>
      <c r="H104" s="53"/>
      <c r="I104" s="53"/>
      <c r="J104" s="53"/>
      <c r="K104" s="53"/>
      <c r="L104" s="53"/>
      <c r="M104" s="53"/>
      <c r="N104" s="53"/>
      <c r="O104" s="53"/>
    </row>
    <row r="105" spans="1:15" ht="15.75" customHeight="1">
      <c r="A105" s="53"/>
      <c r="F105" s="53"/>
      <c r="G105" s="53"/>
      <c r="H105" s="53"/>
      <c r="I105" s="53"/>
      <c r="J105" s="53"/>
      <c r="K105" s="53"/>
      <c r="L105" s="53"/>
      <c r="M105" s="53"/>
      <c r="N105" s="53"/>
      <c r="O105" s="53"/>
    </row>
    <row r="106" spans="1:15" ht="15.75" customHeight="1">
      <c r="A106" s="53"/>
      <c r="F106" s="53"/>
      <c r="G106" s="53"/>
      <c r="H106" s="53"/>
      <c r="I106" s="53"/>
      <c r="J106" s="53"/>
      <c r="K106" s="53"/>
      <c r="L106" s="53"/>
      <c r="M106" s="53"/>
      <c r="N106" s="53"/>
      <c r="O106" s="53"/>
    </row>
    <row r="107" spans="1:15" ht="15.75" customHeight="1">
      <c r="A107" s="53"/>
      <c r="F107" s="53"/>
      <c r="G107" s="53"/>
      <c r="H107" s="53"/>
      <c r="I107" s="53"/>
      <c r="J107" s="53"/>
      <c r="K107" s="53"/>
      <c r="L107" s="53"/>
      <c r="M107" s="53"/>
      <c r="N107" s="53"/>
      <c r="O107" s="53"/>
    </row>
    <row r="108" spans="1:15" ht="15.75" customHeight="1">
      <c r="A108" s="53"/>
      <c r="F108" s="53"/>
      <c r="G108" s="53"/>
      <c r="H108" s="53"/>
      <c r="I108" s="53"/>
      <c r="J108" s="53"/>
      <c r="K108" s="53"/>
      <c r="L108" s="53"/>
      <c r="M108" s="53"/>
      <c r="N108" s="53"/>
      <c r="O108" s="53"/>
    </row>
    <row r="109" spans="1:15" ht="15.75" customHeight="1">
      <c r="A109" s="53"/>
      <c r="F109" s="53"/>
      <c r="G109" s="53"/>
      <c r="H109" s="53"/>
      <c r="I109" s="53"/>
      <c r="J109" s="53"/>
      <c r="K109" s="53"/>
      <c r="L109" s="53"/>
      <c r="M109" s="53"/>
      <c r="N109" s="53"/>
      <c r="O109" s="53"/>
    </row>
    <row r="110" spans="1:15" ht="15.75" customHeight="1">
      <c r="A110" s="53"/>
      <c r="F110" s="53"/>
      <c r="G110" s="53"/>
      <c r="H110" s="53"/>
      <c r="I110" s="53"/>
      <c r="J110" s="53"/>
      <c r="K110" s="53"/>
      <c r="L110" s="53"/>
      <c r="M110" s="53"/>
      <c r="N110" s="53"/>
      <c r="O110" s="53"/>
    </row>
    <row r="111" spans="1:15" ht="15.75" customHeight="1">
      <c r="A111" s="53"/>
      <c r="F111" s="53"/>
      <c r="G111" s="53"/>
      <c r="H111" s="53"/>
      <c r="I111" s="53"/>
      <c r="J111" s="53"/>
      <c r="K111" s="53"/>
      <c r="L111" s="53"/>
      <c r="M111" s="53"/>
      <c r="N111" s="53"/>
      <c r="O111" s="53"/>
    </row>
    <row r="112" spans="1:15" ht="15.75" customHeight="1">
      <c r="A112" s="53"/>
      <c r="F112" s="53"/>
      <c r="G112" s="53"/>
      <c r="H112" s="53"/>
      <c r="I112" s="53"/>
      <c r="J112" s="53"/>
      <c r="K112" s="53"/>
      <c r="L112" s="53"/>
      <c r="M112" s="53"/>
      <c r="N112" s="53"/>
      <c r="O112" s="53"/>
    </row>
    <row r="113" spans="1:15" ht="15.75" customHeight="1">
      <c r="A113" s="53"/>
      <c r="F113" s="53"/>
      <c r="G113" s="53"/>
      <c r="H113" s="53"/>
      <c r="I113" s="53"/>
      <c r="J113" s="53"/>
      <c r="K113" s="53"/>
      <c r="L113" s="53"/>
      <c r="M113" s="53"/>
      <c r="N113" s="53"/>
      <c r="O113" s="53"/>
    </row>
    <row r="114" spans="1:15" ht="15.75" customHeight="1">
      <c r="A114" s="53"/>
      <c r="F114" s="53"/>
      <c r="G114" s="53"/>
      <c r="H114" s="53"/>
      <c r="I114" s="53"/>
      <c r="J114" s="53"/>
      <c r="K114" s="53"/>
      <c r="L114" s="53"/>
      <c r="M114" s="53"/>
      <c r="N114" s="53"/>
      <c r="O114" s="53"/>
    </row>
    <row r="115" spans="1:15" ht="15.75" customHeight="1">
      <c r="A115" s="53"/>
      <c r="F115" s="53"/>
      <c r="G115" s="53"/>
      <c r="H115" s="53"/>
      <c r="I115" s="53"/>
      <c r="J115" s="53"/>
      <c r="K115" s="53"/>
      <c r="L115" s="53"/>
      <c r="M115" s="53"/>
      <c r="N115" s="53"/>
      <c r="O115" s="53"/>
    </row>
  </sheetData>
  <mergeCells count="19">
    <mergeCell ref="B18:D18"/>
    <mergeCell ref="B2:E8"/>
    <mergeCell ref="B14:E14"/>
    <mergeCell ref="B15:E15"/>
    <mergeCell ref="B16:D16"/>
    <mergeCell ref="B17:D17"/>
    <mergeCell ref="B10:E10"/>
    <mergeCell ref="B11:E11"/>
    <mergeCell ref="B12:E12"/>
    <mergeCell ref="B25:D25"/>
    <mergeCell ref="B27:E27"/>
    <mergeCell ref="B29:E31"/>
    <mergeCell ref="B33:D33"/>
    <mergeCell ref="B19:D19"/>
    <mergeCell ref="B20:D20"/>
    <mergeCell ref="B21:D21"/>
    <mergeCell ref="B22:D22"/>
    <mergeCell ref="B23:D23"/>
    <mergeCell ref="B24:D24"/>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79"/>
  <sheetViews>
    <sheetView topLeftCell="A19" zoomScale="110" zoomScaleNormal="110" workbookViewId="0">
      <selection activeCell="J237" sqref="J237"/>
    </sheetView>
  </sheetViews>
  <sheetFormatPr defaultRowHeight="15"/>
  <cols>
    <col min="1" max="1" width="7.140625" style="1" bestFit="1" customWidth="1"/>
    <col min="2" max="2" width="59.7109375" style="35" customWidth="1"/>
    <col min="3" max="3" width="5.7109375" style="4" customWidth="1"/>
    <col min="4" max="5" width="5.7109375" style="6" customWidth="1"/>
    <col min="6" max="6" width="9" style="4" customWidth="1"/>
    <col min="7" max="7" width="12.42578125" style="6" customWidth="1"/>
    <col min="8" max="8" width="19.7109375" style="6" customWidth="1"/>
    <col min="9" max="16384" width="9.140625" style="6"/>
  </cols>
  <sheetData>
    <row r="1" spans="1:8" ht="15" customHeight="1">
      <c r="A1" s="330"/>
      <c r="B1" s="333" t="s">
        <v>52</v>
      </c>
      <c r="C1" s="333"/>
      <c r="D1" s="333"/>
      <c r="E1" s="333"/>
      <c r="F1" s="333"/>
      <c r="G1" s="333"/>
      <c r="H1" s="468"/>
    </row>
    <row r="2" spans="1:8">
      <c r="A2" s="331"/>
      <c r="B2" s="469"/>
      <c r="C2" s="469"/>
      <c r="D2" s="469"/>
      <c r="E2" s="469"/>
      <c r="F2" s="469"/>
      <c r="G2" s="469"/>
      <c r="H2" s="470"/>
    </row>
    <row r="3" spans="1:8">
      <c r="A3" s="331"/>
      <c r="B3" s="469"/>
      <c r="C3" s="469"/>
      <c r="D3" s="469"/>
      <c r="E3" s="469"/>
      <c r="F3" s="469"/>
      <c r="G3" s="469"/>
      <c r="H3" s="470"/>
    </row>
    <row r="4" spans="1:8">
      <c r="A4" s="331"/>
      <c r="B4" s="469"/>
      <c r="C4" s="469"/>
      <c r="D4" s="469"/>
      <c r="E4" s="469"/>
      <c r="F4" s="469"/>
      <c r="G4" s="469"/>
      <c r="H4" s="470"/>
    </row>
    <row r="5" spans="1:8" ht="18.75">
      <c r="A5" s="485" t="s">
        <v>583</v>
      </c>
      <c r="B5" s="486"/>
      <c r="C5" s="486"/>
      <c r="D5" s="486"/>
      <c r="E5" s="486"/>
      <c r="F5" s="486"/>
      <c r="G5" s="486"/>
      <c r="H5" s="487"/>
    </row>
    <row r="6" spans="1:8" ht="30" customHeight="1">
      <c r="A6" s="2" t="s">
        <v>0</v>
      </c>
      <c r="B6" s="32" t="s">
        <v>3</v>
      </c>
      <c r="C6" s="2" t="s">
        <v>4</v>
      </c>
      <c r="D6" s="482" t="s">
        <v>349</v>
      </c>
      <c r="E6" s="483"/>
      <c r="F6" s="483"/>
      <c r="G6" s="483"/>
      <c r="H6" s="484"/>
    </row>
    <row r="7" spans="1:8">
      <c r="A7" s="147"/>
      <c r="B7" s="88"/>
      <c r="C7" s="82"/>
      <c r="D7" s="26"/>
      <c r="E7" s="26"/>
      <c r="F7" s="82"/>
      <c r="G7" s="26"/>
      <c r="H7" s="26"/>
    </row>
    <row r="8" spans="1:8">
      <c r="A8" s="20" t="s">
        <v>67</v>
      </c>
      <c r="B8" s="33" t="s">
        <v>8</v>
      </c>
      <c r="C8" s="130"/>
      <c r="D8" s="23"/>
      <c r="E8" s="23"/>
      <c r="F8" s="130"/>
      <c r="G8" s="23"/>
      <c r="H8" s="23"/>
    </row>
    <row r="9" spans="1:8" ht="32.25" customHeight="1">
      <c r="A9" s="82" t="s">
        <v>6</v>
      </c>
      <c r="B9" s="88" t="s">
        <v>128</v>
      </c>
      <c r="C9" s="82" t="s">
        <v>35</v>
      </c>
      <c r="D9" s="444" t="s">
        <v>656</v>
      </c>
      <c r="E9" s="445"/>
      <c r="F9" s="445"/>
      <c r="G9" s="445"/>
      <c r="H9" s="446"/>
    </row>
    <row r="10" spans="1:8" ht="94.5" customHeight="1">
      <c r="A10" s="82" t="s">
        <v>7</v>
      </c>
      <c r="B10" s="88" t="s">
        <v>40</v>
      </c>
      <c r="C10" s="82" t="s">
        <v>35</v>
      </c>
      <c r="D10" s="429" t="s">
        <v>704</v>
      </c>
      <c r="E10" s="447"/>
      <c r="F10" s="447"/>
      <c r="G10" s="447"/>
      <c r="H10" s="448"/>
    </row>
    <row r="11" spans="1:8" ht="32.25" customHeight="1">
      <c r="A11" s="82" t="s">
        <v>53</v>
      </c>
      <c r="B11" s="90" t="s">
        <v>645</v>
      </c>
      <c r="C11" s="82" t="s">
        <v>646</v>
      </c>
      <c r="D11" s="449" t="s">
        <v>1163</v>
      </c>
      <c r="E11" s="450"/>
      <c r="F11" s="450"/>
      <c r="G11" s="450"/>
      <c r="H11" s="451"/>
    </row>
    <row r="12" spans="1:8" ht="32.25" customHeight="1">
      <c r="A12" s="82" t="s">
        <v>54</v>
      </c>
      <c r="B12" s="90" t="s">
        <v>55</v>
      </c>
      <c r="C12" s="82" t="s">
        <v>35</v>
      </c>
      <c r="D12" s="449" t="s">
        <v>644</v>
      </c>
      <c r="E12" s="450"/>
      <c r="F12" s="450"/>
      <c r="G12" s="450"/>
      <c r="H12" s="451"/>
    </row>
    <row r="13" spans="1:8" ht="60" customHeight="1">
      <c r="A13" s="82" t="s">
        <v>57</v>
      </c>
      <c r="B13" s="90" t="s">
        <v>56</v>
      </c>
      <c r="C13" s="82" t="s">
        <v>35</v>
      </c>
      <c r="D13" s="429" t="s">
        <v>667</v>
      </c>
      <c r="E13" s="447"/>
      <c r="F13" s="447"/>
      <c r="G13" s="447"/>
      <c r="H13" s="448"/>
    </row>
    <row r="14" spans="1:8" ht="60" customHeight="1">
      <c r="A14" s="82" t="s">
        <v>59</v>
      </c>
      <c r="B14" s="90" t="s">
        <v>647</v>
      </c>
      <c r="C14" s="82" t="s">
        <v>35</v>
      </c>
      <c r="D14" s="429" t="s">
        <v>668</v>
      </c>
      <c r="E14" s="447"/>
      <c r="F14" s="447"/>
      <c r="G14" s="447"/>
      <c r="H14" s="448"/>
    </row>
    <row r="15" spans="1:8" ht="60" customHeight="1">
      <c r="A15" s="82" t="s">
        <v>368</v>
      </c>
      <c r="B15" s="90" t="s">
        <v>648</v>
      </c>
      <c r="C15" s="82" t="s">
        <v>35</v>
      </c>
      <c r="D15" s="429" t="s">
        <v>669</v>
      </c>
      <c r="E15" s="447"/>
      <c r="F15" s="447"/>
      <c r="G15" s="447"/>
      <c r="H15" s="448"/>
    </row>
    <row r="16" spans="1:8" ht="60" customHeight="1">
      <c r="A16" s="82" t="s">
        <v>411</v>
      </c>
      <c r="B16" s="90" t="s">
        <v>649</v>
      </c>
      <c r="C16" s="82" t="s">
        <v>35</v>
      </c>
      <c r="D16" s="429" t="s">
        <v>670</v>
      </c>
      <c r="E16" s="447"/>
      <c r="F16" s="447"/>
      <c r="G16" s="447"/>
      <c r="H16" s="448"/>
    </row>
    <row r="17" spans="1:8" ht="60" customHeight="1">
      <c r="A17" s="82" t="s">
        <v>654</v>
      </c>
      <c r="B17" s="90" t="s">
        <v>650</v>
      </c>
      <c r="C17" s="82" t="s">
        <v>35</v>
      </c>
      <c r="D17" s="429" t="s">
        <v>671</v>
      </c>
      <c r="E17" s="447"/>
      <c r="F17" s="447"/>
      <c r="G17" s="447"/>
      <c r="H17" s="448"/>
    </row>
    <row r="18" spans="1:8" ht="47.25" customHeight="1">
      <c r="A18" s="82" t="s">
        <v>657</v>
      </c>
      <c r="B18" s="90" t="s">
        <v>652</v>
      </c>
      <c r="C18" s="82" t="s">
        <v>35</v>
      </c>
      <c r="D18" s="429" t="s">
        <v>672</v>
      </c>
      <c r="E18" s="447"/>
      <c r="F18" s="447"/>
      <c r="G18" s="447"/>
      <c r="H18" s="448"/>
    </row>
    <row r="19" spans="1:8" ht="75">
      <c r="A19" s="82" t="s">
        <v>659</v>
      </c>
      <c r="B19" s="90" t="s">
        <v>651</v>
      </c>
      <c r="C19" s="82" t="s">
        <v>35</v>
      </c>
      <c r="D19" s="429" t="s">
        <v>673</v>
      </c>
      <c r="E19" s="447"/>
      <c r="F19" s="447"/>
      <c r="G19" s="447"/>
      <c r="H19" s="448"/>
    </row>
    <row r="20" spans="1:8" ht="60">
      <c r="A20" s="82" t="s">
        <v>661</v>
      </c>
      <c r="B20" s="90" t="s">
        <v>58</v>
      </c>
      <c r="C20" s="82" t="s">
        <v>49</v>
      </c>
      <c r="D20" s="471" t="s">
        <v>674</v>
      </c>
      <c r="E20" s="472"/>
      <c r="F20" s="472"/>
      <c r="G20" s="472"/>
      <c r="H20" s="473"/>
    </row>
    <row r="21" spans="1:8" ht="60">
      <c r="A21" s="82" t="s">
        <v>662</v>
      </c>
      <c r="B21" s="90" t="s">
        <v>60</v>
      </c>
      <c r="C21" s="82" t="s">
        <v>49</v>
      </c>
      <c r="D21" s="471" t="s">
        <v>675</v>
      </c>
      <c r="E21" s="472"/>
      <c r="F21" s="472"/>
      <c r="G21" s="472"/>
      <c r="H21" s="473"/>
    </row>
    <row r="22" spans="1:8" ht="82.5" customHeight="1">
      <c r="A22" s="128" t="s">
        <v>663</v>
      </c>
      <c r="B22" s="90" t="s">
        <v>513</v>
      </c>
      <c r="C22" s="82" t="s">
        <v>49</v>
      </c>
      <c r="D22" s="471" t="s">
        <v>675</v>
      </c>
      <c r="E22" s="472"/>
      <c r="F22" s="472"/>
      <c r="G22" s="472"/>
      <c r="H22" s="473"/>
    </row>
    <row r="23" spans="1:8" ht="60">
      <c r="A23" s="82" t="s">
        <v>664</v>
      </c>
      <c r="B23" s="90" t="s">
        <v>367</v>
      </c>
      <c r="C23" s="82" t="s">
        <v>49</v>
      </c>
      <c r="D23" s="429" t="s">
        <v>655</v>
      </c>
      <c r="E23" s="447"/>
      <c r="F23" s="447"/>
      <c r="G23" s="447"/>
      <c r="H23" s="448"/>
    </row>
    <row r="24" spans="1:8" ht="21" customHeight="1">
      <c r="A24" s="82" t="s">
        <v>665</v>
      </c>
      <c r="B24" s="90" t="s">
        <v>658</v>
      </c>
      <c r="C24" s="82" t="s">
        <v>340</v>
      </c>
      <c r="D24" s="471" t="s">
        <v>676</v>
      </c>
      <c r="E24" s="472"/>
      <c r="F24" s="472"/>
      <c r="G24" s="472"/>
      <c r="H24" s="473"/>
    </row>
    <row r="25" spans="1:8" ht="68.25" customHeight="1">
      <c r="A25" s="82" t="s">
        <v>666</v>
      </c>
      <c r="B25" s="90" t="s">
        <v>660</v>
      </c>
      <c r="C25" s="82" t="s">
        <v>35</v>
      </c>
      <c r="D25" s="444" t="s">
        <v>1164</v>
      </c>
      <c r="E25" s="472"/>
      <c r="F25" s="472"/>
      <c r="G25" s="472"/>
      <c r="H25" s="473"/>
    </row>
    <row r="26" spans="1:8">
      <c r="A26" s="130" t="s">
        <v>62</v>
      </c>
      <c r="B26" s="407" t="s">
        <v>365</v>
      </c>
      <c r="C26" s="408"/>
      <c r="D26" s="409"/>
      <c r="E26" s="23"/>
      <c r="F26" s="23"/>
      <c r="G26" s="23"/>
      <c r="H26" s="23"/>
    </row>
    <row r="27" spans="1:8" ht="62.25" customHeight="1">
      <c r="A27" s="82" t="s">
        <v>406</v>
      </c>
      <c r="B27" s="90" t="s">
        <v>633</v>
      </c>
      <c r="C27" s="97" t="s">
        <v>49</v>
      </c>
      <c r="D27" s="429" t="s">
        <v>1168</v>
      </c>
      <c r="E27" s="430"/>
      <c r="F27" s="430"/>
      <c r="G27" s="430"/>
      <c r="H27" s="431"/>
    </row>
    <row r="28" spans="1:8" ht="86.25" customHeight="1">
      <c r="A28" s="82" t="s">
        <v>407</v>
      </c>
      <c r="B28" s="90" t="s">
        <v>634</v>
      </c>
      <c r="C28" s="97" t="s">
        <v>49</v>
      </c>
      <c r="D28" s="429" t="s">
        <v>1165</v>
      </c>
      <c r="E28" s="430"/>
      <c r="F28" s="430"/>
      <c r="G28" s="430"/>
      <c r="H28" s="431"/>
    </row>
    <row r="29" spans="1:8" ht="78" customHeight="1">
      <c r="A29" s="82" t="s">
        <v>408</v>
      </c>
      <c r="B29" s="90" t="s">
        <v>635</v>
      </c>
      <c r="C29" s="97" t="s">
        <v>49</v>
      </c>
      <c r="D29" s="429" t="s">
        <v>1166</v>
      </c>
      <c r="E29" s="430"/>
      <c r="F29" s="430"/>
      <c r="G29" s="430"/>
      <c r="H29" s="431"/>
    </row>
    <row r="30" spans="1:8" ht="69.75" customHeight="1">
      <c r="A30" s="82" t="s">
        <v>409</v>
      </c>
      <c r="B30" s="129" t="s">
        <v>636</v>
      </c>
      <c r="C30" s="97" t="s">
        <v>49</v>
      </c>
      <c r="D30" s="437" t="s">
        <v>1167</v>
      </c>
      <c r="E30" s="438"/>
      <c r="F30" s="438"/>
      <c r="G30" s="438"/>
      <c r="H30" s="439"/>
    </row>
    <row r="31" spans="1:8" ht="120" customHeight="1">
      <c r="A31" s="82" t="s">
        <v>678</v>
      </c>
      <c r="B31" s="129" t="s">
        <v>679</v>
      </c>
      <c r="C31" s="97" t="s">
        <v>64</v>
      </c>
      <c r="D31" s="437" t="s">
        <v>681</v>
      </c>
      <c r="E31" s="438"/>
      <c r="F31" s="438"/>
      <c r="G31" s="438"/>
      <c r="H31" s="439"/>
    </row>
    <row r="32" spans="1:8">
      <c r="A32" s="31" t="s">
        <v>70</v>
      </c>
      <c r="B32" s="33" t="s">
        <v>61</v>
      </c>
      <c r="C32" s="130"/>
      <c r="D32" s="23"/>
      <c r="E32" s="23"/>
      <c r="F32" s="130"/>
      <c r="G32" s="23"/>
      <c r="H32" s="23"/>
    </row>
    <row r="33" spans="1:12" ht="255" customHeight="1">
      <c r="A33" s="82" t="s">
        <v>68</v>
      </c>
      <c r="B33" s="90" t="s">
        <v>63</v>
      </c>
      <c r="C33" s="82" t="s">
        <v>64</v>
      </c>
      <c r="D33" s="474" t="s">
        <v>677</v>
      </c>
      <c r="E33" s="475"/>
      <c r="F33" s="475"/>
      <c r="G33" s="475"/>
      <c r="H33" s="476"/>
    </row>
    <row r="34" spans="1:12" ht="57.75" customHeight="1">
      <c r="A34" s="82" t="s">
        <v>77</v>
      </c>
      <c r="B34" s="88" t="s">
        <v>65</v>
      </c>
      <c r="C34" s="82" t="s">
        <v>64</v>
      </c>
      <c r="D34" s="440" t="s">
        <v>690</v>
      </c>
      <c r="E34" s="441"/>
      <c r="F34" s="441"/>
      <c r="G34" s="441"/>
      <c r="H34" s="442"/>
    </row>
    <row r="35" spans="1:12" ht="57.75" customHeight="1">
      <c r="A35" s="293" t="s">
        <v>1169</v>
      </c>
      <c r="B35" s="90" t="s">
        <v>1171</v>
      </c>
      <c r="C35" s="293" t="s">
        <v>64</v>
      </c>
      <c r="D35" s="440" t="s">
        <v>1172</v>
      </c>
      <c r="E35" s="441"/>
      <c r="F35" s="441"/>
      <c r="G35" s="441"/>
      <c r="H35" s="442"/>
    </row>
    <row r="36" spans="1:12">
      <c r="A36" s="31" t="s">
        <v>370</v>
      </c>
      <c r="B36" s="33" t="s">
        <v>69</v>
      </c>
      <c r="C36" s="130"/>
      <c r="D36" s="23"/>
      <c r="E36" s="23"/>
      <c r="F36" s="130"/>
      <c r="G36" s="23"/>
      <c r="H36" s="23"/>
    </row>
    <row r="37" spans="1:12" ht="333.75" customHeight="1">
      <c r="A37" s="100" t="s">
        <v>88</v>
      </c>
      <c r="B37" s="90" t="s">
        <v>682</v>
      </c>
      <c r="C37" s="97" t="s">
        <v>64</v>
      </c>
      <c r="D37" s="440" t="s">
        <v>683</v>
      </c>
      <c r="E37" s="477"/>
      <c r="F37" s="477"/>
      <c r="G37" s="477"/>
      <c r="H37" s="478"/>
    </row>
    <row r="38" spans="1:12" ht="144.75" customHeight="1">
      <c r="A38" s="100" t="s">
        <v>89</v>
      </c>
      <c r="B38" s="90" t="s">
        <v>73</v>
      </c>
      <c r="C38" s="97" t="s">
        <v>35</v>
      </c>
      <c r="D38" s="414" t="s">
        <v>685</v>
      </c>
      <c r="E38" s="432"/>
      <c r="F38" s="432"/>
      <c r="G38" s="432"/>
      <c r="H38" s="433"/>
    </row>
    <row r="39" spans="1:12" ht="136.5" customHeight="1">
      <c r="A39" s="100" t="s">
        <v>369</v>
      </c>
      <c r="B39" s="90" t="s">
        <v>1077</v>
      </c>
      <c r="C39" s="97" t="s">
        <v>64</v>
      </c>
      <c r="D39" s="414" t="s">
        <v>686</v>
      </c>
      <c r="E39" s="432"/>
      <c r="F39" s="432"/>
      <c r="G39" s="432"/>
      <c r="H39" s="433"/>
    </row>
    <row r="40" spans="1:12" ht="133.5" customHeight="1">
      <c r="A40" s="100" t="s">
        <v>90</v>
      </c>
      <c r="B40" s="90" t="s">
        <v>74</v>
      </c>
      <c r="C40" s="97" t="s">
        <v>76</v>
      </c>
      <c r="D40" s="414" t="s">
        <v>687</v>
      </c>
      <c r="E40" s="432"/>
      <c r="F40" s="432"/>
      <c r="G40" s="432"/>
      <c r="H40" s="433"/>
    </row>
    <row r="41" spans="1:12" ht="132.75" customHeight="1">
      <c r="A41" s="100" t="s">
        <v>413</v>
      </c>
      <c r="B41" s="90" t="s">
        <v>75</v>
      </c>
      <c r="C41" s="97" t="s">
        <v>76</v>
      </c>
      <c r="D41" s="414" t="s">
        <v>688</v>
      </c>
      <c r="E41" s="432"/>
      <c r="F41" s="432"/>
      <c r="G41" s="432"/>
      <c r="H41" s="433"/>
    </row>
    <row r="42" spans="1:12" ht="132.75" customHeight="1">
      <c r="A42" s="100" t="s">
        <v>684</v>
      </c>
      <c r="B42" s="90" t="s">
        <v>81</v>
      </c>
      <c r="C42" s="97" t="s">
        <v>76</v>
      </c>
      <c r="D42" s="414" t="s">
        <v>689</v>
      </c>
      <c r="E42" s="432"/>
      <c r="F42" s="432"/>
      <c r="G42" s="432"/>
      <c r="H42" s="433"/>
    </row>
    <row r="43" spans="1:12">
      <c r="A43" s="146">
        <v>5</v>
      </c>
      <c r="B43" s="33" t="s">
        <v>78</v>
      </c>
      <c r="C43" s="130"/>
      <c r="D43" s="23"/>
      <c r="E43" s="23"/>
      <c r="F43" s="130"/>
      <c r="G43" s="23"/>
      <c r="H43" s="23"/>
    </row>
    <row r="44" spans="1:12" ht="246.75" customHeight="1">
      <c r="A44" s="100" t="s">
        <v>94</v>
      </c>
      <c r="B44" s="90" t="s">
        <v>82</v>
      </c>
      <c r="C44" s="97" t="s">
        <v>35</v>
      </c>
      <c r="D44" s="434" t="s">
        <v>1176</v>
      </c>
      <c r="E44" s="435"/>
      <c r="F44" s="435"/>
      <c r="G44" s="435"/>
      <c r="H44" s="436"/>
    </row>
    <row r="45" spans="1:12" ht="342" customHeight="1">
      <c r="A45" s="100" t="s">
        <v>125</v>
      </c>
      <c r="B45" s="90" t="s">
        <v>79</v>
      </c>
      <c r="C45" s="97" t="s">
        <v>64</v>
      </c>
      <c r="D45" s="414" t="s">
        <v>1177</v>
      </c>
      <c r="E45" s="432"/>
      <c r="F45" s="432"/>
      <c r="G45" s="432"/>
      <c r="H45" s="433"/>
      <c r="I45" s="326"/>
      <c r="J45" s="326"/>
      <c r="K45" s="326"/>
      <c r="L45" s="326"/>
    </row>
    <row r="46" spans="1:12" ht="41.25" customHeight="1">
      <c r="A46" s="100" t="s">
        <v>126</v>
      </c>
      <c r="B46" s="90" t="s">
        <v>1173</v>
      </c>
      <c r="C46" s="97" t="s">
        <v>76</v>
      </c>
      <c r="D46" s="414" t="s">
        <v>1178</v>
      </c>
      <c r="E46" s="432"/>
      <c r="F46" s="432"/>
      <c r="G46" s="432"/>
      <c r="H46" s="433"/>
    </row>
    <row r="47" spans="1:12" ht="41.25" customHeight="1">
      <c r="A47" s="100" t="s">
        <v>127</v>
      </c>
      <c r="B47" s="90" t="s">
        <v>80</v>
      </c>
      <c r="C47" s="97" t="s">
        <v>76</v>
      </c>
      <c r="D47" s="414" t="s">
        <v>1179</v>
      </c>
      <c r="E47" s="432"/>
      <c r="F47" s="432"/>
      <c r="G47" s="432"/>
      <c r="H47" s="433"/>
    </row>
    <row r="48" spans="1:12" ht="40.5" customHeight="1">
      <c r="A48" s="100" t="s">
        <v>691</v>
      </c>
      <c r="B48" s="90" t="s">
        <v>81</v>
      </c>
      <c r="C48" s="97" t="s">
        <v>76</v>
      </c>
      <c r="D48" s="414" t="s">
        <v>1180</v>
      </c>
      <c r="E48" s="432"/>
      <c r="F48" s="432"/>
      <c r="G48" s="432"/>
      <c r="H48" s="433"/>
    </row>
    <row r="49" spans="1:8">
      <c r="A49" s="24">
        <v>6</v>
      </c>
      <c r="B49" s="33" t="s">
        <v>129</v>
      </c>
      <c r="C49" s="130"/>
      <c r="D49" s="24"/>
      <c r="E49" s="24"/>
      <c r="F49" s="130"/>
      <c r="G49" s="24"/>
      <c r="H49" s="25"/>
    </row>
    <row r="50" spans="1:8" ht="208.5" customHeight="1">
      <c r="A50" s="97" t="s">
        <v>133</v>
      </c>
      <c r="B50" s="90" t="s">
        <v>130</v>
      </c>
      <c r="C50" s="97" t="s">
        <v>35</v>
      </c>
      <c r="D50" s="401" t="s">
        <v>354</v>
      </c>
      <c r="E50" s="427"/>
      <c r="F50" s="427"/>
      <c r="G50" s="427"/>
      <c r="H50" s="428"/>
    </row>
    <row r="51" spans="1:8">
      <c r="A51" s="31" t="s">
        <v>99</v>
      </c>
      <c r="B51" s="407" t="s">
        <v>84</v>
      </c>
      <c r="C51" s="408"/>
      <c r="D51" s="409"/>
      <c r="E51" s="23"/>
      <c r="F51" s="130"/>
      <c r="G51" s="23"/>
      <c r="H51" s="23"/>
    </row>
    <row r="52" spans="1:8" ht="113.25" customHeight="1">
      <c r="A52" s="82" t="s">
        <v>102</v>
      </c>
      <c r="B52" s="90" t="s">
        <v>85</v>
      </c>
      <c r="C52" s="97" t="s">
        <v>35</v>
      </c>
      <c r="D52" s="401" t="s">
        <v>134</v>
      </c>
      <c r="E52" s="427"/>
      <c r="F52" s="427"/>
      <c r="G52" s="427"/>
      <c r="H52" s="428"/>
    </row>
    <row r="53" spans="1:8" ht="116.25" customHeight="1">
      <c r="A53" s="82" t="s">
        <v>161</v>
      </c>
      <c r="B53" s="90" t="s">
        <v>105</v>
      </c>
      <c r="C53" s="97" t="s">
        <v>35</v>
      </c>
      <c r="D53" s="401" t="s">
        <v>134</v>
      </c>
      <c r="E53" s="427"/>
      <c r="F53" s="427"/>
      <c r="G53" s="427"/>
      <c r="H53" s="428"/>
    </row>
    <row r="54" spans="1:8" ht="59.25" customHeight="1">
      <c r="A54" s="82" t="s">
        <v>162</v>
      </c>
      <c r="B54" s="88" t="s">
        <v>86</v>
      </c>
      <c r="C54" s="97" t="s">
        <v>49</v>
      </c>
      <c r="D54" s="401" t="s">
        <v>371</v>
      </c>
      <c r="E54" s="427"/>
      <c r="F54" s="427"/>
      <c r="G54" s="427"/>
      <c r="H54" s="428"/>
    </row>
    <row r="55" spans="1:8" ht="49.5" customHeight="1">
      <c r="A55" s="82" t="s">
        <v>163</v>
      </c>
      <c r="B55" s="90" t="s">
        <v>693</v>
      </c>
      <c r="C55" s="97" t="s">
        <v>49</v>
      </c>
      <c r="D55" s="462" t="s">
        <v>694</v>
      </c>
      <c r="E55" s="463"/>
      <c r="F55" s="463"/>
      <c r="G55" s="463"/>
      <c r="H55" s="464"/>
    </row>
    <row r="56" spans="1:8" ht="42" customHeight="1">
      <c r="A56" s="82" t="s">
        <v>164</v>
      </c>
      <c r="B56" s="90" t="s">
        <v>87</v>
      </c>
      <c r="C56" s="97" t="s">
        <v>49</v>
      </c>
      <c r="D56" s="465" t="s">
        <v>372</v>
      </c>
      <c r="E56" s="466"/>
      <c r="F56" s="466"/>
      <c r="G56" s="466"/>
      <c r="H56" s="467"/>
    </row>
    <row r="57" spans="1:8" ht="41.25" customHeight="1">
      <c r="A57" s="82" t="s">
        <v>165</v>
      </c>
      <c r="B57" s="88" t="s">
        <v>91</v>
      </c>
      <c r="C57" s="97" t="s">
        <v>35</v>
      </c>
      <c r="D57" s="401" t="s">
        <v>692</v>
      </c>
      <c r="E57" s="427"/>
      <c r="F57" s="427"/>
      <c r="G57" s="427"/>
      <c r="H57" s="428"/>
    </row>
    <row r="58" spans="1:8">
      <c r="A58" s="31" t="s">
        <v>166</v>
      </c>
      <c r="B58" s="407" t="s">
        <v>93</v>
      </c>
      <c r="C58" s="408"/>
      <c r="D58" s="409"/>
      <c r="E58" s="23"/>
      <c r="F58" s="130"/>
      <c r="G58" s="23"/>
      <c r="H58" s="23"/>
    </row>
    <row r="59" spans="1:8">
      <c r="A59" s="146" t="s">
        <v>51</v>
      </c>
      <c r="B59" s="407" t="s">
        <v>95</v>
      </c>
      <c r="C59" s="408"/>
      <c r="D59" s="409"/>
      <c r="E59" s="23"/>
      <c r="F59" s="130"/>
      <c r="G59" s="23"/>
      <c r="H59" s="23"/>
    </row>
    <row r="60" spans="1:8" ht="328.5" customHeight="1">
      <c r="A60" s="97" t="s">
        <v>414</v>
      </c>
      <c r="B60" s="90" t="s">
        <v>131</v>
      </c>
      <c r="C60" s="82" t="s">
        <v>35</v>
      </c>
      <c r="D60" s="423" t="s">
        <v>373</v>
      </c>
      <c r="E60" s="424"/>
      <c r="F60" s="424"/>
      <c r="G60" s="424"/>
      <c r="H60" s="425"/>
    </row>
    <row r="61" spans="1:8" ht="231" customHeight="1">
      <c r="A61" s="97" t="s">
        <v>415</v>
      </c>
      <c r="B61" s="90" t="s">
        <v>132</v>
      </c>
      <c r="C61" s="82" t="s">
        <v>35</v>
      </c>
      <c r="D61" s="423" t="s">
        <v>374</v>
      </c>
      <c r="E61" s="424"/>
      <c r="F61" s="424"/>
      <c r="G61" s="424"/>
      <c r="H61" s="425"/>
    </row>
    <row r="62" spans="1:8">
      <c r="A62" s="20" t="s">
        <v>138</v>
      </c>
      <c r="B62" s="407" t="s">
        <v>98</v>
      </c>
      <c r="C62" s="408"/>
      <c r="D62" s="409"/>
      <c r="E62" s="23"/>
      <c r="F62" s="130"/>
      <c r="G62" s="23"/>
      <c r="H62" s="23"/>
    </row>
    <row r="63" spans="1:8" ht="60" customHeight="1">
      <c r="A63" s="82" t="s">
        <v>416</v>
      </c>
      <c r="B63" s="90" t="s">
        <v>96</v>
      </c>
      <c r="C63" s="82" t="s">
        <v>49</v>
      </c>
      <c r="D63" s="465" t="s">
        <v>355</v>
      </c>
      <c r="E63" s="488"/>
      <c r="F63" s="488"/>
      <c r="G63" s="488"/>
      <c r="H63" s="489"/>
    </row>
    <row r="64" spans="1:8">
      <c r="A64" s="31" t="s">
        <v>141</v>
      </c>
      <c r="B64" s="407" t="s">
        <v>100</v>
      </c>
      <c r="C64" s="408"/>
      <c r="D64" s="409"/>
      <c r="E64" s="23"/>
      <c r="F64" s="130"/>
      <c r="G64" s="23"/>
      <c r="H64" s="23"/>
    </row>
    <row r="65" spans="1:8" ht="173.25" customHeight="1">
      <c r="A65" s="82" t="s">
        <v>417</v>
      </c>
      <c r="B65" s="90" t="s">
        <v>101</v>
      </c>
      <c r="C65" s="82" t="s">
        <v>49</v>
      </c>
      <c r="D65" s="401" t="s">
        <v>695</v>
      </c>
      <c r="E65" s="402"/>
      <c r="F65" s="402"/>
      <c r="G65" s="402"/>
      <c r="H65" s="403"/>
    </row>
    <row r="66" spans="1:8">
      <c r="A66" s="31" t="s">
        <v>418</v>
      </c>
      <c r="B66" s="407" t="s">
        <v>135</v>
      </c>
      <c r="C66" s="408"/>
      <c r="D66" s="409"/>
      <c r="E66" s="23"/>
      <c r="F66" s="130"/>
      <c r="G66" s="23"/>
      <c r="H66" s="23"/>
    </row>
    <row r="67" spans="1:8">
      <c r="A67" s="31" t="s">
        <v>46</v>
      </c>
      <c r="B67" s="407" t="s">
        <v>167</v>
      </c>
      <c r="C67" s="408"/>
      <c r="D67" s="409"/>
      <c r="E67" s="23"/>
      <c r="F67" s="130"/>
      <c r="G67" s="23"/>
      <c r="H67" s="23"/>
    </row>
    <row r="68" spans="1:8" ht="75">
      <c r="A68" s="147" t="s">
        <v>173</v>
      </c>
      <c r="B68" s="90" t="s">
        <v>146</v>
      </c>
      <c r="C68" s="82" t="s">
        <v>340</v>
      </c>
      <c r="D68" s="401" t="s">
        <v>522</v>
      </c>
      <c r="E68" s="402"/>
      <c r="F68" s="402"/>
      <c r="G68" s="402"/>
      <c r="H68" s="403"/>
    </row>
    <row r="69" spans="1:8" ht="75">
      <c r="A69" s="147" t="s">
        <v>174</v>
      </c>
      <c r="B69" s="90" t="s">
        <v>148</v>
      </c>
      <c r="C69" s="82" t="s">
        <v>340</v>
      </c>
      <c r="D69" s="401" t="s">
        <v>696</v>
      </c>
      <c r="E69" s="402"/>
      <c r="F69" s="402"/>
      <c r="G69" s="402"/>
      <c r="H69" s="403"/>
    </row>
    <row r="70" spans="1:8" ht="81.75" customHeight="1">
      <c r="A70" s="147" t="s">
        <v>175</v>
      </c>
      <c r="B70" s="90" t="s">
        <v>150</v>
      </c>
      <c r="C70" s="82" t="s">
        <v>340</v>
      </c>
      <c r="D70" s="461" t="s">
        <v>523</v>
      </c>
      <c r="E70" s="405"/>
      <c r="F70" s="405"/>
      <c r="G70" s="405"/>
      <c r="H70" s="406"/>
    </row>
    <row r="71" spans="1:8" ht="45">
      <c r="A71" s="147" t="s">
        <v>327</v>
      </c>
      <c r="B71" s="90" t="s">
        <v>152</v>
      </c>
      <c r="C71" s="82" t="s">
        <v>340</v>
      </c>
      <c r="D71" s="410" t="s">
        <v>524</v>
      </c>
      <c r="E71" s="402"/>
      <c r="F71" s="402"/>
      <c r="G71" s="402"/>
      <c r="H71" s="403"/>
    </row>
    <row r="72" spans="1:8" ht="45">
      <c r="A72" s="147" t="s">
        <v>419</v>
      </c>
      <c r="B72" s="90" t="s">
        <v>154</v>
      </c>
      <c r="C72" s="82" t="s">
        <v>340</v>
      </c>
      <c r="D72" s="410" t="s">
        <v>525</v>
      </c>
      <c r="E72" s="402"/>
      <c r="F72" s="402"/>
      <c r="G72" s="402"/>
      <c r="H72" s="403"/>
    </row>
    <row r="73" spans="1:8" ht="45">
      <c r="A73" s="147" t="s">
        <v>420</v>
      </c>
      <c r="B73" s="90" t="s">
        <v>156</v>
      </c>
      <c r="C73" s="82" t="s">
        <v>340</v>
      </c>
      <c r="D73" s="410" t="s">
        <v>697</v>
      </c>
      <c r="E73" s="402"/>
      <c r="F73" s="402"/>
      <c r="G73" s="402"/>
      <c r="H73" s="403"/>
    </row>
    <row r="74" spans="1:8">
      <c r="A74" s="31" t="s">
        <v>47</v>
      </c>
      <c r="B74" s="407" t="s">
        <v>168</v>
      </c>
      <c r="C74" s="408"/>
      <c r="D74" s="409"/>
      <c r="E74" s="23"/>
      <c r="F74" s="130"/>
      <c r="G74" s="23"/>
      <c r="H74" s="23"/>
    </row>
    <row r="75" spans="1:8" ht="45">
      <c r="A75" s="147" t="s">
        <v>176</v>
      </c>
      <c r="B75" s="90" t="s">
        <v>137</v>
      </c>
      <c r="C75" s="82" t="s">
        <v>35</v>
      </c>
      <c r="D75" s="456" t="s">
        <v>698</v>
      </c>
      <c r="E75" s="457"/>
      <c r="F75" s="457"/>
      <c r="G75" s="457"/>
      <c r="H75" s="458"/>
    </row>
    <row r="76" spans="1:8" ht="45">
      <c r="A76" s="147" t="s">
        <v>421</v>
      </c>
      <c r="B76" s="90" t="s">
        <v>140</v>
      </c>
      <c r="C76" s="82" t="s">
        <v>35</v>
      </c>
      <c r="D76" s="456" t="s">
        <v>514</v>
      </c>
      <c r="E76" s="457"/>
      <c r="F76" s="457"/>
      <c r="G76" s="457"/>
      <c r="H76" s="458"/>
    </row>
    <row r="77" spans="1:8" ht="90.75" customHeight="1">
      <c r="A77" s="82" t="s">
        <v>422</v>
      </c>
      <c r="B77" s="90" t="s">
        <v>143</v>
      </c>
      <c r="C77" s="82" t="s">
        <v>35</v>
      </c>
      <c r="D77" s="456" t="s">
        <v>699</v>
      </c>
      <c r="E77" s="457"/>
      <c r="F77" s="457"/>
      <c r="G77" s="457"/>
      <c r="H77" s="458"/>
    </row>
    <row r="78" spans="1:8" ht="93" customHeight="1">
      <c r="A78" s="82" t="s">
        <v>423</v>
      </c>
      <c r="B78" s="113" t="s">
        <v>624</v>
      </c>
      <c r="C78" s="82"/>
      <c r="D78" s="479" t="s">
        <v>521</v>
      </c>
      <c r="E78" s="480"/>
      <c r="F78" s="480"/>
      <c r="G78" s="480"/>
      <c r="H78" s="481"/>
    </row>
    <row r="79" spans="1:8" ht="65.25" customHeight="1">
      <c r="A79" s="82" t="s">
        <v>424</v>
      </c>
      <c r="B79" s="90" t="s">
        <v>50</v>
      </c>
      <c r="C79" s="82" t="s">
        <v>35</v>
      </c>
      <c r="D79" s="456" t="s">
        <v>516</v>
      </c>
      <c r="E79" s="447"/>
      <c r="F79" s="447"/>
      <c r="G79" s="447"/>
      <c r="H79" s="448"/>
    </row>
    <row r="80" spans="1:8">
      <c r="A80" s="31" t="s">
        <v>425</v>
      </c>
      <c r="B80" s="407" t="s">
        <v>169</v>
      </c>
      <c r="C80" s="408"/>
      <c r="D80" s="409"/>
      <c r="E80" s="23"/>
      <c r="F80" s="130"/>
      <c r="G80" s="23"/>
      <c r="H80" s="23"/>
    </row>
    <row r="81" spans="1:8" ht="105" customHeight="1">
      <c r="A81" s="147" t="s">
        <v>329</v>
      </c>
      <c r="B81" s="90" t="s">
        <v>158</v>
      </c>
      <c r="C81" s="82" t="s">
        <v>35</v>
      </c>
      <c r="D81" s="456" t="s">
        <v>515</v>
      </c>
      <c r="E81" s="457"/>
      <c r="F81" s="457"/>
      <c r="G81" s="457"/>
      <c r="H81" s="458"/>
    </row>
    <row r="82" spans="1:8" ht="42.75" customHeight="1">
      <c r="A82" s="147" t="s">
        <v>332</v>
      </c>
      <c r="B82" s="90" t="s">
        <v>160</v>
      </c>
      <c r="C82" s="82" t="s">
        <v>35</v>
      </c>
      <c r="D82" s="456" t="s">
        <v>517</v>
      </c>
      <c r="E82" s="457"/>
      <c r="F82" s="457"/>
      <c r="G82" s="457"/>
      <c r="H82" s="458"/>
    </row>
    <row r="83" spans="1:8" ht="106.5" customHeight="1">
      <c r="A83" s="82" t="s">
        <v>375</v>
      </c>
      <c r="B83" s="90" t="s">
        <v>531</v>
      </c>
      <c r="C83" s="82" t="s">
        <v>35</v>
      </c>
      <c r="D83" s="456" t="s">
        <v>538</v>
      </c>
      <c r="E83" s="459"/>
      <c r="F83" s="459"/>
      <c r="G83" s="459"/>
      <c r="H83" s="460"/>
    </row>
    <row r="84" spans="1:8" ht="67.5" customHeight="1">
      <c r="A84" s="82" t="s">
        <v>533</v>
      </c>
      <c r="B84" s="90" t="s">
        <v>532</v>
      </c>
      <c r="C84" s="82" t="s">
        <v>35</v>
      </c>
      <c r="D84" s="456" t="s">
        <v>534</v>
      </c>
      <c r="E84" s="459"/>
      <c r="F84" s="459"/>
      <c r="G84" s="459"/>
      <c r="H84" s="460"/>
    </row>
    <row r="85" spans="1:8" ht="88.5" customHeight="1">
      <c r="A85" s="82" t="s">
        <v>535</v>
      </c>
      <c r="B85" s="90" t="s">
        <v>536</v>
      </c>
      <c r="C85" s="82" t="s">
        <v>35</v>
      </c>
      <c r="D85" s="456" t="s">
        <v>537</v>
      </c>
      <c r="E85" s="459"/>
      <c r="F85" s="459"/>
      <c r="G85" s="459"/>
      <c r="H85" s="460"/>
    </row>
    <row r="86" spans="1:8">
      <c r="A86" s="24">
        <v>11</v>
      </c>
      <c r="B86" s="426" t="s">
        <v>106</v>
      </c>
      <c r="C86" s="426"/>
      <c r="D86" s="426"/>
      <c r="E86" s="426"/>
      <c r="F86" s="426"/>
      <c r="G86" s="426"/>
      <c r="H86" s="25"/>
    </row>
    <row r="87" spans="1:8">
      <c r="A87" s="24" t="s">
        <v>426</v>
      </c>
      <c r="B87" s="426" t="s">
        <v>107</v>
      </c>
      <c r="C87" s="426"/>
      <c r="D87" s="426"/>
      <c r="E87" s="426"/>
      <c r="F87" s="426"/>
      <c r="G87" s="426"/>
      <c r="H87" s="26"/>
    </row>
    <row r="88" spans="1:8" ht="351.75" customHeight="1">
      <c r="A88" s="82" t="s">
        <v>427</v>
      </c>
      <c r="B88" s="90" t="s">
        <v>108</v>
      </c>
      <c r="C88" s="82" t="s">
        <v>35</v>
      </c>
      <c r="D88" s="411" t="s">
        <v>356</v>
      </c>
      <c r="E88" s="412"/>
      <c r="F88" s="412"/>
      <c r="G88" s="412"/>
      <c r="H88" s="413"/>
    </row>
    <row r="89" spans="1:8" ht="351" customHeight="1">
      <c r="A89" s="82" t="s">
        <v>428</v>
      </c>
      <c r="B89" s="90" t="s">
        <v>771</v>
      </c>
      <c r="C89" s="82" t="s">
        <v>35</v>
      </c>
      <c r="D89" s="411" t="s">
        <v>356</v>
      </c>
      <c r="E89" s="412"/>
      <c r="F89" s="412"/>
      <c r="G89" s="412"/>
      <c r="H89" s="413"/>
    </row>
    <row r="90" spans="1:8" ht="351.75" customHeight="1">
      <c r="A90" s="82" t="s">
        <v>429</v>
      </c>
      <c r="B90" s="90" t="s">
        <v>170</v>
      </c>
      <c r="C90" s="82" t="s">
        <v>35</v>
      </c>
      <c r="D90" s="453" t="s">
        <v>357</v>
      </c>
      <c r="E90" s="454"/>
      <c r="F90" s="454"/>
      <c r="G90" s="454"/>
      <c r="H90" s="455"/>
    </row>
    <row r="91" spans="1:8" ht="357" customHeight="1">
      <c r="A91" s="82" t="s">
        <v>430</v>
      </c>
      <c r="B91" s="88" t="s">
        <v>328</v>
      </c>
      <c r="C91" s="82" t="s">
        <v>35</v>
      </c>
      <c r="D91" s="420" t="s">
        <v>358</v>
      </c>
      <c r="E91" s="421"/>
      <c r="F91" s="421"/>
      <c r="G91" s="421"/>
      <c r="H91" s="422"/>
    </row>
    <row r="92" spans="1:8">
      <c r="A92" s="24" t="s">
        <v>431</v>
      </c>
      <c r="B92" s="426" t="s">
        <v>171</v>
      </c>
      <c r="C92" s="426"/>
      <c r="D92" s="426"/>
      <c r="E92" s="426"/>
      <c r="F92" s="426"/>
      <c r="G92" s="426"/>
      <c r="H92" s="26"/>
    </row>
    <row r="93" spans="1:8" ht="164.25" customHeight="1">
      <c r="A93" s="82" t="s">
        <v>432</v>
      </c>
      <c r="B93" s="90" t="s">
        <v>172</v>
      </c>
      <c r="C93" s="82" t="s">
        <v>35</v>
      </c>
      <c r="D93" s="417" t="s">
        <v>359</v>
      </c>
      <c r="E93" s="418"/>
      <c r="F93" s="418"/>
      <c r="G93" s="418"/>
      <c r="H93" s="419"/>
    </row>
    <row r="94" spans="1:8">
      <c r="A94" s="24">
        <v>12</v>
      </c>
      <c r="B94" s="426" t="s">
        <v>178</v>
      </c>
      <c r="C94" s="426"/>
      <c r="D94" s="426"/>
      <c r="E94" s="426"/>
      <c r="F94" s="426"/>
      <c r="G94" s="426"/>
      <c r="H94" s="25"/>
    </row>
    <row r="95" spans="1:8">
      <c r="A95" s="24" t="s">
        <v>222</v>
      </c>
      <c r="B95" s="33" t="s">
        <v>330</v>
      </c>
      <c r="C95" s="130"/>
      <c r="D95" s="131"/>
      <c r="E95" s="131"/>
      <c r="F95" s="131"/>
      <c r="G95" s="131"/>
      <c r="H95" s="25"/>
    </row>
    <row r="96" spans="1:8" ht="351.75" customHeight="1">
      <c r="A96" s="82" t="s">
        <v>226</v>
      </c>
      <c r="B96" s="88" t="s">
        <v>331</v>
      </c>
      <c r="C96" s="82" t="s">
        <v>35</v>
      </c>
      <c r="D96" s="420" t="s">
        <v>360</v>
      </c>
      <c r="E96" s="421"/>
      <c r="F96" s="421"/>
      <c r="G96" s="421"/>
      <c r="H96" s="422"/>
    </row>
    <row r="97" spans="1:8">
      <c r="A97" s="24" t="s">
        <v>227</v>
      </c>
      <c r="B97" s="33" t="s">
        <v>171</v>
      </c>
      <c r="C97" s="130"/>
      <c r="D97" s="131"/>
      <c r="E97" s="131"/>
      <c r="F97" s="131"/>
      <c r="G97" s="131"/>
      <c r="H97" s="25"/>
    </row>
    <row r="98" spans="1:8" ht="333" customHeight="1">
      <c r="A98" s="82" t="s">
        <v>228</v>
      </c>
      <c r="B98" s="90" t="s">
        <v>333</v>
      </c>
      <c r="C98" s="82" t="s">
        <v>35</v>
      </c>
      <c r="D98" s="420" t="s">
        <v>361</v>
      </c>
      <c r="E98" s="421"/>
      <c r="F98" s="421"/>
      <c r="G98" s="421"/>
      <c r="H98" s="422"/>
    </row>
    <row r="99" spans="1:8" ht="115.5" customHeight="1">
      <c r="A99" s="82" t="s">
        <v>229</v>
      </c>
      <c r="B99" s="90" t="s">
        <v>334</v>
      </c>
      <c r="C99" s="82" t="s">
        <v>35</v>
      </c>
      <c r="D99" s="401" t="s">
        <v>362</v>
      </c>
      <c r="E99" s="402"/>
      <c r="F99" s="402"/>
      <c r="G99" s="402"/>
      <c r="H99" s="403"/>
    </row>
    <row r="100" spans="1:8">
      <c r="A100" s="31" t="s">
        <v>230</v>
      </c>
      <c r="B100" s="426" t="s">
        <v>336</v>
      </c>
      <c r="C100" s="426"/>
      <c r="D100" s="426"/>
      <c r="E100" s="426"/>
      <c r="F100" s="426"/>
      <c r="G100" s="426"/>
      <c r="H100" s="426"/>
    </row>
    <row r="101" spans="1:8" ht="315" customHeight="1">
      <c r="A101" s="82" t="s">
        <v>231</v>
      </c>
      <c r="B101" s="90" t="s">
        <v>337</v>
      </c>
      <c r="C101" s="82" t="s">
        <v>49</v>
      </c>
      <c r="D101" s="423" t="s">
        <v>363</v>
      </c>
      <c r="E101" s="424"/>
      <c r="F101" s="424"/>
      <c r="G101" s="424"/>
      <c r="H101" s="425"/>
    </row>
    <row r="102" spans="1:8">
      <c r="A102" s="31" t="s">
        <v>233</v>
      </c>
      <c r="B102" s="426" t="s">
        <v>179</v>
      </c>
      <c r="C102" s="426"/>
      <c r="D102" s="426"/>
      <c r="E102" s="426"/>
      <c r="F102" s="426"/>
      <c r="G102" s="426"/>
      <c r="H102" s="426"/>
    </row>
    <row r="103" spans="1:8">
      <c r="A103" s="24" t="s">
        <v>235</v>
      </c>
      <c r="B103" s="33" t="s">
        <v>180</v>
      </c>
      <c r="C103" s="130"/>
      <c r="D103" s="23"/>
      <c r="E103" s="23"/>
      <c r="F103" s="130"/>
      <c r="G103" s="23"/>
      <c r="H103" s="23"/>
    </row>
    <row r="104" spans="1:8" ht="60">
      <c r="A104" s="82" t="s">
        <v>376</v>
      </c>
      <c r="B104" s="90" t="s">
        <v>182</v>
      </c>
      <c r="C104" s="82" t="s">
        <v>340</v>
      </c>
      <c r="D104" s="410" t="s">
        <v>552</v>
      </c>
      <c r="E104" s="402"/>
      <c r="F104" s="402"/>
      <c r="G104" s="402"/>
      <c r="H104" s="403"/>
    </row>
    <row r="105" spans="1:8">
      <c r="A105" s="82" t="s">
        <v>377</v>
      </c>
      <c r="B105" s="90" t="s">
        <v>184</v>
      </c>
      <c r="C105" s="82" t="s">
        <v>185</v>
      </c>
      <c r="D105" s="410" t="s">
        <v>584</v>
      </c>
      <c r="E105" s="402"/>
      <c r="F105" s="402"/>
      <c r="G105" s="402"/>
      <c r="H105" s="403"/>
    </row>
    <row r="106" spans="1:8" ht="96.75" customHeight="1">
      <c r="A106" s="82" t="s">
        <v>378</v>
      </c>
      <c r="B106" s="88" t="s">
        <v>186</v>
      </c>
      <c r="C106" s="82" t="s">
        <v>49</v>
      </c>
      <c r="D106" s="401" t="s">
        <v>398</v>
      </c>
      <c r="E106" s="402"/>
      <c r="F106" s="402"/>
      <c r="G106" s="402"/>
      <c r="H106" s="403"/>
    </row>
    <row r="107" spans="1:8" ht="37.5" customHeight="1">
      <c r="A107" s="82" t="s">
        <v>379</v>
      </c>
      <c r="B107" s="90" t="s">
        <v>187</v>
      </c>
      <c r="C107" s="82" t="s">
        <v>49</v>
      </c>
      <c r="D107" s="401" t="s">
        <v>585</v>
      </c>
      <c r="E107" s="402"/>
      <c r="F107" s="402"/>
      <c r="G107" s="402"/>
      <c r="H107" s="403"/>
    </row>
    <row r="108" spans="1:8">
      <c r="A108" s="82" t="s">
        <v>380</v>
      </c>
      <c r="B108" s="88" t="s">
        <v>188</v>
      </c>
      <c r="C108" s="82" t="s">
        <v>185</v>
      </c>
      <c r="D108" s="410" t="s">
        <v>586</v>
      </c>
      <c r="E108" s="402"/>
      <c r="F108" s="402"/>
      <c r="G108" s="402"/>
      <c r="H108" s="403"/>
    </row>
    <row r="109" spans="1:8">
      <c r="A109" s="82" t="s">
        <v>381</v>
      </c>
      <c r="B109" s="88" t="s">
        <v>193</v>
      </c>
      <c r="C109" s="82" t="s">
        <v>340</v>
      </c>
      <c r="D109" s="410" t="s">
        <v>552</v>
      </c>
      <c r="E109" s="402"/>
      <c r="F109" s="402"/>
      <c r="G109" s="402"/>
      <c r="H109" s="403"/>
    </row>
    <row r="110" spans="1:8">
      <c r="A110" s="82" t="s">
        <v>382</v>
      </c>
      <c r="B110" s="88" t="s">
        <v>196</v>
      </c>
      <c r="C110" s="82" t="s">
        <v>340</v>
      </c>
      <c r="D110" s="410" t="s">
        <v>587</v>
      </c>
      <c r="E110" s="402"/>
      <c r="F110" s="402"/>
      <c r="G110" s="402"/>
      <c r="H110" s="403"/>
    </row>
    <row r="111" spans="1:8">
      <c r="A111" s="82" t="s">
        <v>383</v>
      </c>
      <c r="B111" s="88" t="s">
        <v>197</v>
      </c>
      <c r="C111" s="82" t="s">
        <v>340</v>
      </c>
      <c r="D111" s="410" t="s">
        <v>572</v>
      </c>
      <c r="E111" s="402"/>
      <c r="F111" s="402"/>
      <c r="G111" s="402"/>
      <c r="H111" s="403"/>
    </row>
    <row r="112" spans="1:8">
      <c r="A112" s="82" t="s">
        <v>384</v>
      </c>
      <c r="B112" s="88" t="s">
        <v>205</v>
      </c>
      <c r="C112" s="82" t="s">
        <v>340</v>
      </c>
      <c r="D112" s="410" t="s">
        <v>587</v>
      </c>
      <c r="E112" s="402"/>
      <c r="F112" s="402"/>
      <c r="G112" s="402"/>
      <c r="H112" s="403"/>
    </row>
    <row r="113" spans="1:8" ht="30">
      <c r="A113" s="82" t="s">
        <v>385</v>
      </c>
      <c r="B113" s="90" t="s">
        <v>290</v>
      </c>
      <c r="C113" s="82" t="s">
        <v>340</v>
      </c>
      <c r="D113" s="410" t="s">
        <v>552</v>
      </c>
      <c r="E113" s="402"/>
      <c r="F113" s="402"/>
      <c r="G113" s="402"/>
      <c r="H113" s="403"/>
    </row>
    <row r="114" spans="1:8">
      <c r="A114" s="82" t="s">
        <v>386</v>
      </c>
      <c r="B114" s="88" t="s">
        <v>291</v>
      </c>
      <c r="C114" s="82" t="s">
        <v>340</v>
      </c>
      <c r="D114" s="410" t="s">
        <v>552</v>
      </c>
      <c r="E114" s="402"/>
      <c r="F114" s="402"/>
      <c r="G114" s="402"/>
      <c r="H114" s="403"/>
    </row>
    <row r="115" spans="1:8" ht="30">
      <c r="A115" s="82" t="s">
        <v>387</v>
      </c>
      <c r="B115" s="90" t="s">
        <v>292</v>
      </c>
      <c r="C115" s="82" t="s">
        <v>340</v>
      </c>
      <c r="D115" s="410" t="s">
        <v>552</v>
      </c>
      <c r="E115" s="402"/>
      <c r="F115" s="402"/>
      <c r="G115" s="402"/>
      <c r="H115" s="403"/>
    </row>
    <row r="116" spans="1:8">
      <c r="A116" s="24" t="s">
        <v>237</v>
      </c>
      <c r="B116" s="33" t="s">
        <v>206</v>
      </c>
      <c r="C116" s="130"/>
      <c r="D116" s="23"/>
      <c r="E116" s="23"/>
      <c r="F116" s="130"/>
      <c r="G116" s="23"/>
      <c r="H116" s="23"/>
    </row>
    <row r="117" spans="1:8" ht="60">
      <c r="A117" s="82" t="s">
        <v>388</v>
      </c>
      <c r="B117" s="90" t="s">
        <v>208</v>
      </c>
      <c r="C117" s="82" t="s">
        <v>340</v>
      </c>
      <c r="D117" s="410" t="s">
        <v>565</v>
      </c>
      <c r="E117" s="402"/>
      <c r="F117" s="402"/>
      <c r="G117" s="402"/>
      <c r="H117" s="403"/>
    </row>
    <row r="118" spans="1:8" ht="69.75" customHeight="1">
      <c r="A118" s="82" t="s">
        <v>389</v>
      </c>
      <c r="B118" s="90" t="s">
        <v>209</v>
      </c>
      <c r="C118" s="82" t="s">
        <v>49</v>
      </c>
      <c r="D118" s="414" t="s">
        <v>527</v>
      </c>
      <c r="E118" s="415"/>
      <c r="F118" s="415"/>
      <c r="G118" s="415"/>
      <c r="H118" s="416"/>
    </row>
    <row r="119" spans="1:8" ht="69.75" customHeight="1">
      <c r="A119" s="82" t="s">
        <v>390</v>
      </c>
      <c r="B119" s="90" t="s">
        <v>210</v>
      </c>
      <c r="C119" s="82" t="s">
        <v>49</v>
      </c>
      <c r="D119" s="414" t="s">
        <v>526</v>
      </c>
      <c r="E119" s="415"/>
      <c r="F119" s="415"/>
      <c r="G119" s="415"/>
      <c r="H119" s="416"/>
    </row>
    <row r="120" spans="1:8" ht="59.25" customHeight="1">
      <c r="A120" s="82" t="s">
        <v>391</v>
      </c>
      <c r="B120" s="90" t="s">
        <v>211</v>
      </c>
      <c r="C120" s="82" t="s">
        <v>49</v>
      </c>
      <c r="D120" s="414" t="s">
        <v>528</v>
      </c>
      <c r="E120" s="415"/>
      <c r="F120" s="415"/>
      <c r="G120" s="415"/>
      <c r="H120" s="416"/>
    </row>
    <row r="121" spans="1:8" s="43" customFormat="1" ht="40.5" customHeight="1">
      <c r="A121" s="153" t="s">
        <v>392</v>
      </c>
      <c r="B121" s="154" t="s">
        <v>212</v>
      </c>
      <c r="C121" s="153" t="s">
        <v>49</v>
      </c>
      <c r="D121" s="414" t="s">
        <v>529</v>
      </c>
      <c r="E121" s="415"/>
      <c r="F121" s="415"/>
      <c r="G121" s="415"/>
      <c r="H121" s="416"/>
    </row>
    <row r="122" spans="1:8" ht="45">
      <c r="A122" s="82" t="s">
        <v>393</v>
      </c>
      <c r="B122" s="90" t="s">
        <v>213</v>
      </c>
      <c r="C122" s="82" t="s">
        <v>340</v>
      </c>
      <c r="D122" s="410" t="s">
        <v>545</v>
      </c>
      <c r="E122" s="402"/>
      <c r="F122" s="402"/>
      <c r="G122" s="402"/>
      <c r="H122" s="403"/>
    </row>
    <row r="123" spans="1:8">
      <c r="A123" s="82" t="s">
        <v>394</v>
      </c>
      <c r="B123" s="88" t="s">
        <v>214</v>
      </c>
      <c r="C123" s="82" t="s">
        <v>185</v>
      </c>
      <c r="D123" s="410" t="s">
        <v>546</v>
      </c>
      <c r="E123" s="402"/>
      <c r="F123" s="402"/>
      <c r="G123" s="402"/>
      <c r="H123" s="403"/>
    </row>
    <row r="124" spans="1:8" ht="30">
      <c r="A124" s="82" t="s">
        <v>453</v>
      </c>
      <c r="B124" s="90" t="s">
        <v>215</v>
      </c>
      <c r="C124" s="82" t="s">
        <v>185</v>
      </c>
      <c r="D124" s="410" t="s">
        <v>547</v>
      </c>
      <c r="E124" s="402"/>
      <c r="F124" s="402"/>
      <c r="G124" s="402"/>
      <c r="H124" s="403"/>
    </row>
    <row r="125" spans="1:8" ht="30">
      <c r="A125" s="82" t="s">
        <v>454</v>
      </c>
      <c r="B125" s="90" t="s">
        <v>219</v>
      </c>
      <c r="C125" s="82" t="s">
        <v>185</v>
      </c>
      <c r="D125" s="410" t="s">
        <v>548</v>
      </c>
      <c r="E125" s="402"/>
      <c r="F125" s="402"/>
      <c r="G125" s="402"/>
      <c r="H125" s="403"/>
    </row>
    <row r="126" spans="1:8" ht="45">
      <c r="A126" s="82" t="s">
        <v>455</v>
      </c>
      <c r="B126" s="90" t="s">
        <v>221</v>
      </c>
      <c r="C126" s="82" t="s">
        <v>340</v>
      </c>
      <c r="D126" s="410" t="s">
        <v>549</v>
      </c>
      <c r="E126" s="402"/>
      <c r="F126" s="402"/>
      <c r="G126" s="402"/>
      <c r="H126" s="403"/>
    </row>
    <row r="127" spans="1:8" ht="69.75" customHeight="1">
      <c r="A127" s="82" t="s">
        <v>456</v>
      </c>
      <c r="B127" s="90" t="s">
        <v>63</v>
      </c>
      <c r="C127" s="82" t="s">
        <v>64</v>
      </c>
      <c r="D127" s="414" t="s">
        <v>530</v>
      </c>
      <c r="E127" s="415"/>
      <c r="F127" s="415"/>
      <c r="G127" s="415"/>
      <c r="H127" s="416"/>
    </row>
    <row r="128" spans="1:8">
      <c r="A128" s="24" t="s">
        <v>457</v>
      </c>
      <c r="B128" s="33" t="s">
        <v>223</v>
      </c>
      <c r="C128" s="130"/>
      <c r="D128" s="23"/>
      <c r="E128" s="23"/>
      <c r="F128" s="130"/>
      <c r="G128" s="23"/>
      <c r="H128" s="23"/>
    </row>
    <row r="129" spans="1:8" ht="30">
      <c r="A129" s="147" t="s">
        <v>458</v>
      </c>
      <c r="B129" s="90" t="s">
        <v>189</v>
      </c>
      <c r="C129" s="82" t="s">
        <v>340</v>
      </c>
      <c r="D129" s="410" t="s">
        <v>550</v>
      </c>
      <c r="E129" s="402"/>
      <c r="F129" s="402"/>
      <c r="G129" s="402"/>
      <c r="H129" s="403"/>
    </row>
    <row r="130" spans="1:8" ht="45">
      <c r="A130" s="147" t="s">
        <v>459</v>
      </c>
      <c r="B130" s="90" t="s">
        <v>190</v>
      </c>
      <c r="C130" s="82" t="s">
        <v>340</v>
      </c>
      <c r="D130" s="410" t="s">
        <v>551</v>
      </c>
      <c r="E130" s="402"/>
      <c r="F130" s="402"/>
      <c r="G130" s="402"/>
      <c r="H130" s="403"/>
    </row>
    <row r="131" spans="1:8" ht="30">
      <c r="A131" s="147" t="s">
        <v>460</v>
      </c>
      <c r="B131" s="90" t="s">
        <v>191</v>
      </c>
      <c r="C131" s="82" t="s">
        <v>340</v>
      </c>
      <c r="D131" s="410" t="s">
        <v>552</v>
      </c>
      <c r="E131" s="402"/>
      <c r="F131" s="402"/>
      <c r="G131" s="402"/>
      <c r="H131" s="403"/>
    </row>
    <row r="132" spans="1:8" ht="30">
      <c r="A132" s="147" t="s">
        <v>461</v>
      </c>
      <c r="B132" s="90" t="s">
        <v>192</v>
      </c>
      <c r="C132" s="82" t="s">
        <v>340</v>
      </c>
      <c r="D132" s="410" t="s">
        <v>552</v>
      </c>
      <c r="E132" s="402"/>
      <c r="F132" s="402"/>
      <c r="G132" s="402"/>
      <c r="H132" s="403"/>
    </row>
    <row r="133" spans="1:8" ht="30">
      <c r="A133" s="147" t="s">
        <v>462</v>
      </c>
      <c r="B133" s="90" t="s">
        <v>194</v>
      </c>
      <c r="C133" s="82" t="s">
        <v>340</v>
      </c>
      <c r="D133" s="410" t="s">
        <v>553</v>
      </c>
      <c r="E133" s="402"/>
      <c r="F133" s="402"/>
      <c r="G133" s="402"/>
      <c r="H133" s="403"/>
    </row>
    <row r="134" spans="1:8">
      <c r="A134" s="147" t="s">
        <v>463</v>
      </c>
      <c r="B134" s="90" t="s">
        <v>198</v>
      </c>
      <c r="C134" s="82" t="s">
        <v>340</v>
      </c>
      <c r="D134" s="410" t="s">
        <v>554</v>
      </c>
      <c r="E134" s="402"/>
      <c r="F134" s="402"/>
      <c r="G134" s="402"/>
      <c r="H134" s="403"/>
    </row>
    <row r="135" spans="1:8" ht="30">
      <c r="A135" s="147" t="s">
        <v>464</v>
      </c>
      <c r="B135" s="90" t="s">
        <v>199</v>
      </c>
      <c r="C135" s="82" t="s">
        <v>340</v>
      </c>
      <c r="D135" s="410" t="s">
        <v>553</v>
      </c>
      <c r="E135" s="402"/>
      <c r="F135" s="402"/>
      <c r="G135" s="402"/>
      <c r="H135" s="403"/>
    </row>
    <row r="136" spans="1:8" ht="30">
      <c r="A136" s="147" t="s">
        <v>465</v>
      </c>
      <c r="B136" s="90" t="s">
        <v>200</v>
      </c>
      <c r="C136" s="82" t="s">
        <v>340</v>
      </c>
      <c r="D136" s="410" t="s">
        <v>552</v>
      </c>
      <c r="E136" s="402"/>
      <c r="F136" s="402"/>
      <c r="G136" s="402"/>
      <c r="H136" s="403"/>
    </row>
    <row r="137" spans="1:8">
      <c r="A137" s="147" t="s">
        <v>466</v>
      </c>
      <c r="B137" s="88" t="s">
        <v>201</v>
      </c>
      <c r="C137" s="82" t="s">
        <v>340</v>
      </c>
      <c r="D137" s="410" t="s">
        <v>552</v>
      </c>
      <c r="E137" s="402"/>
      <c r="F137" s="402"/>
      <c r="G137" s="402"/>
      <c r="H137" s="403"/>
    </row>
    <row r="138" spans="1:8">
      <c r="A138" s="147" t="s">
        <v>467</v>
      </c>
      <c r="B138" s="90" t="s">
        <v>202</v>
      </c>
      <c r="C138" s="82" t="s">
        <v>340</v>
      </c>
      <c r="D138" s="410" t="s">
        <v>546</v>
      </c>
      <c r="E138" s="402"/>
      <c r="F138" s="402"/>
      <c r="G138" s="402"/>
      <c r="H138" s="403"/>
    </row>
    <row r="139" spans="1:8" ht="30">
      <c r="A139" s="147" t="s">
        <v>468</v>
      </c>
      <c r="B139" s="90" t="s">
        <v>203</v>
      </c>
      <c r="C139" s="82" t="s">
        <v>340</v>
      </c>
      <c r="D139" s="410" t="s">
        <v>555</v>
      </c>
      <c r="E139" s="402"/>
      <c r="F139" s="402"/>
      <c r="G139" s="402"/>
      <c r="H139" s="403"/>
    </row>
    <row r="140" spans="1:8" ht="30">
      <c r="A140" s="147" t="s">
        <v>469</v>
      </c>
      <c r="B140" s="90" t="s">
        <v>204</v>
      </c>
      <c r="C140" s="82" t="s">
        <v>340</v>
      </c>
      <c r="D140" s="410" t="s">
        <v>553</v>
      </c>
      <c r="E140" s="402"/>
      <c r="F140" s="402"/>
      <c r="G140" s="402"/>
      <c r="H140" s="403"/>
    </row>
    <row r="141" spans="1:8" ht="45">
      <c r="A141" s="147" t="s">
        <v>470</v>
      </c>
      <c r="B141" s="90" t="s">
        <v>216</v>
      </c>
      <c r="C141" s="82" t="s">
        <v>340</v>
      </c>
      <c r="D141" s="410" t="s">
        <v>556</v>
      </c>
      <c r="E141" s="402"/>
      <c r="F141" s="402"/>
      <c r="G141" s="402"/>
      <c r="H141" s="403"/>
    </row>
    <row r="142" spans="1:8" ht="60">
      <c r="A142" s="147" t="s">
        <v>471</v>
      </c>
      <c r="B142" s="90" t="s">
        <v>217</v>
      </c>
      <c r="C142" s="82" t="s">
        <v>340</v>
      </c>
      <c r="D142" s="410" t="s">
        <v>557</v>
      </c>
      <c r="E142" s="402"/>
      <c r="F142" s="402"/>
      <c r="G142" s="402"/>
      <c r="H142" s="403"/>
    </row>
    <row r="143" spans="1:8" ht="45">
      <c r="A143" s="147" t="s">
        <v>472</v>
      </c>
      <c r="B143" s="90" t="s">
        <v>218</v>
      </c>
      <c r="C143" s="82" t="s">
        <v>340</v>
      </c>
      <c r="D143" s="410" t="s">
        <v>550</v>
      </c>
      <c r="E143" s="402"/>
      <c r="F143" s="402"/>
      <c r="G143" s="402"/>
      <c r="H143" s="403"/>
    </row>
    <row r="144" spans="1:8">
      <c r="A144" s="31" t="s">
        <v>239</v>
      </c>
      <c r="B144" s="426" t="s">
        <v>234</v>
      </c>
      <c r="C144" s="426"/>
      <c r="D144" s="426"/>
      <c r="E144" s="426"/>
      <c r="F144" s="426"/>
      <c r="G144" s="426"/>
      <c r="H144" s="426"/>
    </row>
    <row r="145" spans="1:8">
      <c r="A145" s="24" t="s">
        <v>242</v>
      </c>
      <c r="B145" s="426" t="s">
        <v>236</v>
      </c>
      <c r="C145" s="426"/>
      <c r="D145" s="426"/>
      <c r="E145" s="426"/>
      <c r="F145" s="426"/>
      <c r="G145" s="426"/>
      <c r="H145" s="426"/>
    </row>
    <row r="146" spans="1:8" ht="60">
      <c r="A146" s="117" t="s">
        <v>243</v>
      </c>
      <c r="B146" s="90" t="s">
        <v>258</v>
      </c>
      <c r="C146" s="82" t="s">
        <v>340</v>
      </c>
      <c r="D146" s="410" t="s">
        <v>552</v>
      </c>
      <c r="E146" s="402"/>
      <c r="F146" s="402"/>
      <c r="G146" s="402"/>
      <c r="H146" s="403"/>
    </row>
    <row r="147" spans="1:8" ht="45">
      <c r="A147" s="117" t="s">
        <v>244</v>
      </c>
      <c r="B147" s="90" t="s">
        <v>259</v>
      </c>
      <c r="C147" s="82" t="s">
        <v>340</v>
      </c>
      <c r="D147" s="410" t="s">
        <v>552</v>
      </c>
      <c r="E147" s="402"/>
      <c r="F147" s="402"/>
      <c r="G147" s="402"/>
      <c r="H147" s="403"/>
    </row>
    <row r="148" spans="1:8" ht="60">
      <c r="A148" s="117" t="s">
        <v>245</v>
      </c>
      <c r="B148" s="90" t="s">
        <v>260</v>
      </c>
      <c r="C148" s="82" t="s">
        <v>340</v>
      </c>
      <c r="D148" s="410" t="s">
        <v>558</v>
      </c>
      <c r="E148" s="402"/>
      <c r="F148" s="402"/>
      <c r="G148" s="402"/>
      <c r="H148" s="403"/>
    </row>
    <row r="149" spans="1:8" ht="45">
      <c r="A149" s="117" t="s">
        <v>246</v>
      </c>
      <c r="B149" s="90" t="s">
        <v>261</v>
      </c>
      <c r="C149" s="82" t="s">
        <v>340</v>
      </c>
      <c r="D149" s="410" t="s">
        <v>559</v>
      </c>
      <c r="E149" s="402"/>
      <c r="F149" s="402"/>
      <c r="G149" s="402"/>
      <c r="H149" s="403"/>
    </row>
    <row r="150" spans="1:8" ht="45">
      <c r="A150" s="117" t="s">
        <v>247</v>
      </c>
      <c r="B150" s="90" t="s">
        <v>262</v>
      </c>
      <c r="C150" s="82" t="s">
        <v>340</v>
      </c>
      <c r="D150" s="410" t="s">
        <v>551</v>
      </c>
      <c r="E150" s="402"/>
      <c r="F150" s="402"/>
      <c r="G150" s="402"/>
      <c r="H150" s="403"/>
    </row>
    <row r="151" spans="1:8" ht="45">
      <c r="A151" s="117" t="s">
        <v>395</v>
      </c>
      <c r="B151" s="90" t="s">
        <v>263</v>
      </c>
      <c r="C151" s="82" t="s">
        <v>340</v>
      </c>
      <c r="D151" s="410" t="s">
        <v>560</v>
      </c>
      <c r="E151" s="402"/>
      <c r="F151" s="402"/>
      <c r="G151" s="402"/>
      <c r="H151" s="403"/>
    </row>
    <row r="152" spans="1:8" ht="45">
      <c r="A152" s="117" t="s">
        <v>396</v>
      </c>
      <c r="B152" s="90" t="s">
        <v>264</v>
      </c>
      <c r="C152" s="82" t="s">
        <v>340</v>
      </c>
      <c r="D152" s="410" t="s">
        <v>550</v>
      </c>
      <c r="E152" s="402"/>
      <c r="F152" s="402"/>
      <c r="G152" s="402"/>
      <c r="H152" s="403"/>
    </row>
    <row r="153" spans="1:8" ht="45">
      <c r="A153" s="117" t="s">
        <v>433</v>
      </c>
      <c r="B153" s="90" t="s">
        <v>265</v>
      </c>
      <c r="C153" s="82" t="s">
        <v>340</v>
      </c>
      <c r="D153" s="410" t="s">
        <v>561</v>
      </c>
      <c r="E153" s="402"/>
      <c r="F153" s="402"/>
      <c r="G153" s="402"/>
      <c r="H153" s="403"/>
    </row>
    <row r="154" spans="1:8" ht="60">
      <c r="A154" s="117" t="s">
        <v>434</v>
      </c>
      <c r="B154" s="90" t="s">
        <v>266</v>
      </c>
      <c r="C154" s="82" t="s">
        <v>340</v>
      </c>
      <c r="D154" s="410" t="s">
        <v>562</v>
      </c>
      <c r="E154" s="402"/>
      <c r="F154" s="402"/>
      <c r="G154" s="402"/>
      <c r="H154" s="403"/>
    </row>
    <row r="155" spans="1:8" ht="45">
      <c r="A155" s="117" t="s">
        <v>435</v>
      </c>
      <c r="B155" s="90" t="s">
        <v>267</v>
      </c>
      <c r="C155" s="82" t="s">
        <v>340</v>
      </c>
      <c r="D155" s="410" t="s">
        <v>563</v>
      </c>
      <c r="E155" s="402"/>
      <c r="F155" s="402"/>
      <c r="G155" s="402"/>
      <c r="H155" s="403"/>
    </row>
    <row r="156" spans="1:8" ht="45">
      <c r="A156" s="117" t="s">
        <v>436</v>
      </c>
      <c r="B156" s="90" t="s">
        <v>268</v>
      </c>
      <c r="C156" s="82" t="s">
        <v>340</v>
      </c>
      <c r="D156" s="410" t="s">
        <v>553</v>
      </c>
      <c r="E156" s="402"/>
      <c r="F156" s="402"/>
      <c r="G156" s="402"/>
      <c r="H156" s="403"/>
    </row>
    <row r="157" spans="1:8" ht="30">
      <c r="A157" s="117" t="s">
        <v>437</v>
      </c>
      <c r="B157" s="90" t="s">
        <v>269</v>
      </c>
      <c r="C157" s="82" t="s">
        <v>340</v>
      </c>
      <c r="D157" s="410" t="s">
        <v>564</v>
      </c>
      <c r="E157" s="402"/>
      <c r="F157" s="402"/>
      <c r="G157" s="402"/>
      <c r="H157" s="403"/>
    </row>
    <row r="158" spans="1:8">
      <c r="A158" s="117" t="s">
        <v>473</v>
      </c>
      <c r="B158" s="90" t="s">
        <v>270</v>
      </c>
      <c r="C158" s="82" t="s">
        <v>340</v>
      </c>
      <c r="D158" s="410" t="s">
        <v>565</v>
      </c>
      <c r="E158" s="402"/>
      <c r="F158" s="402"/>
      <c r="G158" s="402"/>
      <c r="H158" s="403"/>
    </row>
    <row r="159" spans="1:8" ht="30">
      <c r="A159" s="117" t="s">
        <v>474</v>
      </c>
      <c r="B159" s="90" t="s">
        <v>273</v>
      </c>
      <c r="C159" s="82" t="s">
        <v>340</v>
      </c>
      <c r="D159" s="410" t="s">
        <v>551</v>
      </c>
      <c r="E159" s="402"/>
      <c r="F159" s="402"/>
      <c r="G159" s="402"/>
      <c r="H159" s="403"/>
    </row>
    <row r="160" spans="1:8" ht="60">
      <c r="A160" s="117" t="s">
        <v>475</v>
      </c>
      <c r="B160" s="90" t="s">
        <v>274</v>
      </c>
      <c r="C160" s="82" t="s">
        <v>340</v>
      </c>
      <c r="D160" s="410" t="s">
        <v>550</v>
      </c>
      <c r="E160" s="402"/>
      <c r="F160" s="402"/>
      <c r="G160" s="402"/>
      <c r="H160" s="403"/>
    </row>
    <row r="161" spans="1:8" ht="30">
      <c r="A161" s="117" t="s">
        <v>476</v>
      </c>
      <c r="B161" s="90" t="s">
        <v>309</v>
      </c>
      <c r="C161" s="82" t="s">
        <v>49</v>
      </c>
      <c r="D161" s="410" t="s">
        <v>566</v>
      </c>
      <c r="E161" s="402"/>
      <c r="F161" s="402"/>
      <c r="G161" s="402"/>
      <c r="H161" s="403"/>
    </row>
    <row r="162" spans="1:8" ht="30">
      <c r="A162" s="117" t="s">
        <v>477</v>
      </c>
      <c r="B162" s="90" t="s">
        <v>310</v>
      </c>
      <c r="C162" s="82" t="s">
        <v>49</v>
      </c>
      <c r="D162" s="410" t="s">
        <v>567</v>
      </c>
      <c r="E162" s="402"/>
      <c r="F162" s="402"/>
      <c r="G162" s="402"/>
      <c r="H162" s="403"/>
    </row>
    <row r="163" spans="1:8" ht="30">
      <c r="A163" s="117" t="s">
        <v>478</v>
      </c>
      <c r="B163" s="90" t="s">
        <v>311</v>
      </c>
      <c r="C163" s="82" t="s">
        <v>49</v>
      </c>
      <c r="D163" s="410" t="s">
        <v>568</v>
      </c>
      <c r="E163" s="402"/>
      <c r="F163" s="402"/>
      <c r="G163" s="402"/>
      <c r="H163" s="403"/>
    </row>
    <row r="164" spans="1:8" ht="30">
      <c r="A164" s="117" t="s">
        <v>479</v>
      </c>
      <c r="B164" s="90" t="s">
        <v>312</v>
      </c>
      <c r="C164" s="82" t="s">
        <v>49</v>
      </c>
      <c r="D164" s="410" t="s">
        <v>569</v>
      </c>
      <c r="E164" s="402"/>
      <c r="F164" s="402"/>
      <c r="G164" s="402"/>
      <c r="H164" s="403"/>
    </row>
    <row r="165" spans="1:8">
      <c r="A165" s="117" t="s">
        <v>480</v>
      </c>
      <c r="B165" s="90" t="s">
        <v>313</v>
      </c>
      <c r="C165" s="82" t="s">
        <v>340</v>
      </c>
      <c r="D165" s="410" t="s">
        <v>570</v>
      </c>
      <c r="E165" s="402"/>
      <c r="F165" s="402"/>
      <c r="G165" s="402"/>
      <c r="H165" s="403"/>
    </row>
    <row r="166" spans="1:8" ht="30">
      <c r="A166" s="117" t="s">
        <v>481</v>
      </c>
      <c r="B166" s="90" t="s">
        <v>314</v>
      </c>
      <c r="C166" s="82" t="s">
        <v>49</v>
      </c>
      <c r="D166" s="410" t="s">
        <v>571</v>
      </c>
      <c r="E166" s="402"/>
      <c r="F166" s="402"/>
      <c r="G166" s="402"/>
      <c r="H166" s="403"/>
    </row>
    <row r="167" spans="1:8" ht="30">
      <c r="A167" s="117" t="s">
        <v>482</v>
      </c>
      <c r="B167" s="90" t="s">
        <v>315</v>
      </c>
      <c r="C167" s="82" t="s">
        <v>340</v>
      </c>
      <c r="D167" s="410" t="s">
        <v>570</v>
      </c>
      <c r="E167" s="402"/>
      <c r="F167" s="402"/>
      <c r="G167" s="402"/>
      <c r="H167" s="403"/>
    </row>
    <row r="168" spans="1:8" ht="30">
      <c r="A168" s="117" t="s">
        <v>483</v>
      </c>
      <c r="B168" s="90" t="s">
        <v>316</v>
      </c>
      <c r="C168" s="82" t="s">
        <v>340</v>
      </c>
      <c r="D168" s="410" t="s">
        <v>552</v>
      </c>
      <c r="E168" s="402"/>
      <c r="F168" s="402"/>
      <c r="G168" s="402"/>
      <c r="H168" s="403"/>
    </row>
    <row r="169" spans="1:8" ht="30">
      <c r="A169" s="117" t="s">
        <v>484</v>
      </c>
      <c r="B169" s="90" t="s">
        <v>317</v>
      </c>
      <c r="C169" s="82" t="s">
        <v>340</v>
      </c>
      <c r="D169" s="410" t="s">
        <v>551</v>
      </c>
      <c r="E169" s="402"/>
      <c r="F169" s="402"/>
      <c r="G169" s="402"/>
      <c r="H169" s="403"/>
    </row>
    <row r="170" spans="1:8" ht="30">
      <c r="A170" s="117" t="s">
        <v>485</v>
      </c>
      <c r="B170" s="90" t="s">
        <v>318</v>
      </c>
      <c r="C170" s="82" t="s">
        <v>340</v>
      </c>
      <c r="D170" s="410" t="s">
        <v>572</v>
      </c>
      <c r="E170" s="402"/>
      <c r="F170" s="402"/>
      <c r="G170" s="402"/>
      <c r="H170" s="403"/>
    </row>
    <row r="171" spans="1:8" ht="30">
      <c r="A171" s="117" t="s">
        <v>486</v>
      </c>
      <c r="B171" s="90" t="s">
        <v>319</v>
      </c>
      <c r="C171" s="82" t="s">
        <v>340</v>
      </c>
      <c r="D171" s="410" t="s">
        <v>573</v>
      </c>
      <c r="E171" s="402"/>
      <c r="F171" s="402"/>
      <c r="G171" s="402"/>
      <c r="H171" s="403"/>
    </row>
    <row r="172" spans="1:8" ht="30">
      <c r="A172" s="117" t="s">
        <v>487</v>
      </c>
      <c r="B172" s="90" t="s">
        <v>320</v>
      </c>
      <c r="C172" s="82" t="s">
        <v>340</v>
      </c>
      <c r="D172" s="410" t="s">
        <v>551</v>
      </c>
      <c r="E172" s="402"/>
      <c r="F172" s="402"/>
      <c r="G172" s="402"/>
      <c r="H172" s="403"/>
    </row>
    <row r="173" spans="1:8" ht="30">
      <c r="A173" s="117" t="s">
        <v>488</v>
      </c>
      <c r="B173" s="90" t="s">
        <v>321</v>
      </c>
      <c r="C173" s="82" t="s">
        <v>340</v>
      </c>
      <c r="D173" s="410" t="s">
        <v>550</v>
      </c>
      <c r="E173" s="402"/>
      <c r="F173" s="402"/>
      <c r="G173" s="402"/>
      <c r="H173" s="403"/>
    </row>
    <row r="174" spans="1:8" ht="30">
      <c r="A174" s="117" t="s">
        <v>489</v>
      </c>
      <c r="B174" s="90" t="s">
        <v>322</v>
      </c>
      <c r="C174" s="82" t="s">
        <v>340</v>
      </c>
      <c r="D174" s="410" t="s">
        <v>574</v>
      </c>
      <c r="E174" s="402"/>
      <c r="F174" s="402"/>
      <c r="G174" s="402"/>
      <c r="H174" s="403"/>
    </row>
    <row r="175" spans="1:8" ht="30">
      <c r="A175" s="117" t="s">
        <v>490</v>
      </c>
      <c r="B175" s="90" t="s">
        <v>323</v>
      </c>
      <c r="C175" s="82" t="s">
        <v>340</v>
      </c>
      <c r="D175" s="410" t="s">
        <v>575</v>
      </c>
      <c r="E175" s="402"/>
      <c r="F175" s="402"/>
      <c r="G175" s="402"/>
      <c r="H175" s="403"/>
    </row>
    <row r="176" spans="1:8" ht="30">
      <c r="A176" s="117" t="s">
        <v>491</v>
      </c>
      <c r="B176" s="90" t="s">
        <v>324</v>
      </c>
      <c r="C176" s="82" t="s">
        <v>340</v>
      </c>
      <c r="D176" s="410" t="s">
        <v>552</v>
      </c>
      <c r="E176" s="402"/>
      <c r="F176" s="402"/>
      <c r="G176" s="402"/>
      <c r="H176" s="403"/>
    </row>
    <row r="177" spans="1:8">
      <c r="A177" s="24" t="s">
        <v>249</v>
      </c>
      <c r="B177" s="426" t="s">
        <v>238</v>
      </c>
      <c r="C177" s="426"/>
      <c r="D177" s="426"/>
      <c r="E177" s="426"/>
      <c r="F177" s="426"/>
      <c r="G177" s="426"/>
      <c r="H177" s="426"/>
    </row>
    <row r="178" spans="1:8" ht="60">
      <c r="A178" s="82" t="s">
        <v>338</v>
      </c>
      <c r="B178" s="90" t="s">
        <v>271</v>
      </c>
      <c r="C178" s="82" t="s">
        <v>340</v>
      </c>
      <c r="D178" s="410" t="s">
        <v>559</v>
      </c>
      <c r="E178" s="402"/>
      <c r="F178" s="402"/>
      <c r="G178" s="402"/>
      <c r="H178" s="403"/>
    </row>
    <row r="179" spans="1:8">
      <c r="A179" s="82" t="s">
        <v>397</v>
      </c>
      <c r="B179" s="88" t="s">
        <v>272</v>
      </c>
      <c r="C179" s="82" t="s">
        <v>340</v>
      </c>
      <c r="D179" s="410" t="s">
        <v>572</v>
      </c>
      <c r="E179" s="402"/>
      <c r="F179" s="402"/>
      <c r="G179" s="402"/>
      <c r="H179" s="403"/>
    </row>
    <row r="180" spans="1:8">
      <c r="A180" s="82" t="s">
        <v>341</v>
      </c>
      <c r="B180" s="90" t="s">
        <v>275</v>
      </c>
      <c r="C180" s="82" t="s">
        <v>340</v>
      </c>
      <c r="D180" s="410" t="s">
        <v>550</v>
      </c>
      <c r="E180" s="402"/>
      <c r="F180" s="402"/>
      <c r="G180" s="402"/>
      <c r="H180" s="403"/>
    </row>
    <row r="181" spans="1:8">
      <c r="A181" s="82" t="s">
        <v>438</v>
      </c>
      <c r="B181" s="90" t="s">
        <v>276</v>
      </c>
      <c r="C181" s="82" t="s">
        <v>340</v>
      </c>
      <c r="D181" s="410" t="s">
        <v>562</v>
      </c>
      <c r="E181" s="402"/>
      <c r="F181" s="402"/>
      <c r="G181" s="402"/>
      <c r="H181" s="403"/>
    </row>
    <row r="182" spans="1:8">
      <c r="A182" s="82" t="s">
        <v>439</v>
      </c>
      <c r="B182" s="90" t="s">
        <v>277</v>
      </c>
      <c r="C182" s="82" t="s">
        <v>340</v>
      </c>
      <c r="D182" s="410" t="s">
        <v>551</v>
      </c>
      <c r="E182" s="402"/>
      <c r="F182" s="402"/>
      <c r="G182" s="402"/>
      <c r="H182" s="403"/>
    </row>
    <row r="183" spans="1:8">
      <c r="A183" s="82" t="s">
        <v>440</v>
      </c>
      <c r="B183" s="90" t="s">
        <v>278</v>
      </c>
      <c r="C183" s="82" t="s">
        <v>340</v>
      </c>
      <c r="D183" s="410" t="s">
        <v>561</v>
      </c>
      <c r="E183" s="402"/>
      <c r="F183" s="402"/>
      <c r="G183" s="402"/>
      <c r="H183" s="403"/>
    </row>
    <row r="184" spans="1:8" ht="30">
      <c r="A184" s="82" t="s">
        <v>441</v>
      </c>
      <c r="B184" s="90" t="s">
        <v>279</v>
      </c>
      <c r="C184" s="82" t="s">
        <v>340</v>
      </c>
      <c r="D184" s="410" t="s">
        <v>563</v>
      </c>
      <c r="E184" s="402"/>
      <c r="F184" s="402"/>
      <c r="G184" s="402"/>
      <c r="H184" s="403"/>
    </row>
    <row r="185" spans="1:8">
      <c r="A185" s="31" t="s">
        <v>252</v>
      </c>
      <c r="B185" s="426" t="s">
        <v>240</v>
      </c>
      <c r="C185" s="426"/>
      <c r="D185" s="426"/>
      <c r="E185" s="426"/>
      <c r="F185" s="426"/>
      <c r="G185" s="426"/>
      <c r="H185" s="426"/>
    </row>
    <row r="186" spans="1:8">
      <c r="A186" s="31" t="s">
        <v>343</v>
      </c>
      <c r="B186" s="426" t="s">
        <v>241</v>
      </c>
      <c r="C186" s="426"/>
      <c r="D186" s="426"/>
      <c r="E186" s="426"/>
      <c r="F186" s="426"/>
      <c r="G186" s="426"/>
      <c r="H186" s="426"/>
    </row>
    <row r="187" spans="1:8" ht="30">
      <c r="A187" s="82" t="s">
        <v>442</v>
      </c>
      <c r="B187" s="90" t="s">
        <v>118</v>
      </c>
      <c r="C187" s="82" t="s">
        <v>185</v>
      </c>
      <c r="D187" s="410" t="s">
        <v>576</v>
      </c>
      <c r="E187" s="402"/>
      <c r="F187" s="402"/>
      <c r="G187" s="402"/>
      <c r="H187" s="403"/>
    </row>
    <row r="188" spans="1:8">
      <c r="A188" s="82" t="s">
        <v>443</v>
      </c>
      <c r="B188" s="88" t="s">
        <v>122</v>
      </c>
      <c r="C188" s="82" t="s">
        <v>185</v>
      </c>
      <c r="D188" s="410" t="s">
        <v>577</v>
      </c>
      <c r="E188" s="402"/>
      <c r="F188" s="402"/>
      <c r="G188" s="402"/>
      <c r="H188" s="403"/>
    </row>
    <row r="189" spans="1:8" ht="45">
      <c r="A189" s="82" t="s">
        <v>444</v>
      </c>
      <c r="B189" s="90" t="s">
        <v>124</v>
      </c>
      <c r="C189" s="82" t="s">
        <v>340</v>
      </c>
      <c r="D189" s="410" t="s">
        <v>577</v>
      </c>
      <c r="E189" s="402"/>
      <c r="F189" s="402"/>
      <c r="G189" s="402"/>
      <c r="H189" s="403"/>
    </row>
    <row r="190" spans="1:8" ht="45">
      <c r="A190" s="82" t="s">
        <v>445</v>
      </c>
      <c r="B190" s="90" t="s">
        <v>281</v>
      </c>
      <c r="C190" s="82" t="s">
        <v>340</v>
      </c>
      <c r="D190" s="410" t="s">
        <v>578</v>
      </c>
      <c r="E190" s="402"/>
      <c r="F190" s="402"/>
      <c r="G190" s="402"/>
      <c r="H190" s="403"/>
    </row>
    <row r="191" spans="1:8" ht="30">
      <c r="A191" s="82" t="s">
        <v>446</v>
      </c>
      <c r="B191" s="90" t="s">
        <v>282</v>
      </c>
      <c r="C191" s="82" t="s">
        <v>340</v>
      </c>
      <c r="D191" s="410" t="s">
        <v>550</v>
      </c>
      <c r="E191" s="402"/>
      <c r="F191" s="402"/>
      <c r="G191" s="402"/>
      <c r="H191" s="403"/>
    </row>
    <row r="192" spans="1:8" ht="30">
      <c r="A192" s="82" t="s">
        <v>447</v>
      </c>
      <c r="B192" s="90" t="s">
        <v>315</v>
      </c>
      <c r="C192" s="82" t="s">
        <v>340</v>
      </c>
      <c r="D192" s="410" t="s">
        <v>579</v>
      </c>
      <c r="E192" s="402"/>
      <c r="F192" s="402"/>
      <c r="G192" s="402"/>
      <c r="H192" s="403"/>
    </row>
    <row r="193" spans="1:8" ht="30">
      <c r="A193" s="82" t="s">
        <v>448</v>
      </c>
      <c r="B193" s="90" t="s">
        <v>314</v>
      </c>
      <c r="C193" s="82" t="s">
        <v>49</v>
      </c>
      <c r="D193" s="410" t="s">
        <v>580</v>
      </c>
      <c r="E193" s="402"/>
      <c r="F193" s="402"/>
      <c r="G193" s="402"/>
      <c r="H193" s="403"/>
    </row>
    <row r="194" spans="1:8">
      <c r="A194" s="31" t="s">
        <v>346</v>
      </c>
      <c r="B194" s="33" t="s">
        <v>250</v>
      </c>
      <c r="C194" s="130"/>
      <c r="D194" s="131"/>
      <c r="E194" s="131"/>
      <c r="F194" s="130"/>
      <c r="G194" s="131"/>
      <c r="H194" s="131"/>
    </row>
    <row r="195" spans="1:8" ht="30">
      <c r="A195" s="42" t="s">
        <v>449</v>
      </c>
      <c r="B195" s="90" t="s">
        <v>339</v>
      </c>
      <c r="C195" s="82" t="s">
        <v>340</v>
      </c>
      <c r="D195" s="410" t="s">
        <v>570</v>
      </c>
      <c r="E195" s="402"/>
      <c r="F195" s="402"/>
      <c r="G195" s="402"/>
      <c r="H195" s="403"/>
    </row>
    <row r="196" spans="1:8" ht="60">
      <c r="A196" s="42" t="s">
        <v>450</v>
      </c>
      <c r="B196" s="90" t="s">
        <v>294</v>
      </c>
      <c r="C196" s="82" t="s">
        <v>340</v>
      </c>
      <c r="D196" s="410" t="s">
        <v>552</v>
      </c>
      <c r="E196" s="402"/>
      <c r="F196" s="402"/>
      <c r="G196" s="402"/>
      <c r="H196" s="403"/>
    </row>
    <row r="197" spans="1:8" ht="67.5" customHeight="1">
      <c r="A197" s="42" t="s">
        <v>451</v>
      </c>
      <c r="B197" s="90" t="s">
        <v>342</v>
      </c>
      <c r="C197" s="82" t="s">
        <v>49</v>
      </c>
      <c r="D197" s="401" t="s">
        <v>581</v>
      </c>
      <c r="E197" s="402"/>
      <c r="F197" s="402"/>
      <c r="G197" s="402"/>
      <c r="H197" s="403"/>
    </row>
    <row r="198" spans="1:8">
      <c r="A198" s="31" t="s">
        <v>492</v>
      </c>
      <c r="B198" s="33" t="s">
        <v>251</v>
      </c>
      <c r="C198" s="130"/>
      <c r="D198" s="131"/>
      <c r="E198" s="131"/>
      <c r="F198" s="130"/>
      <c r="G198" s="131"/>
      <c r="H198" s="131"/>
    </row>
    <row r="199" spans="1:8" ht="45">
      <c r="A199" s="152" t="s">
        <v>493</v>
      </c>
      <c r="B199" s="90" t="s">
        <v>287</v>
      </c>
      <c r="C199" s="82" t="s">
        <v>340</v>
      </c>
      <c r="D199" s="410" t="s">
        <v>582</v>
      </c>
      <c r="E199" s="402"/>
      <c r="F199" s="402"/>
      <c r="G199" s="402"/>
      <c r="H199" s="403"/>
    </row>
    <row r="200" spans="1:8" ht="45">
      <c r="A200" s="152" t="s">
        <v>494</v>
      </c>
      <c r="B200" s="90" t="s">
        <v>288</v>
      </c>
      <c r="C200" s="82" t="s">
        <v>340</v>
      </c>
      <c r="D200" s="410" t="s">
        <v>549</v>
      </c>
      <c r="E200" s="402"/>
      <c r="F200" s="402"/>
      <c r="G200" s="402"/>
      <c r="H200" s="403"/>
    </row>
    <row r="201" spans="1:8" ht="45">
      <c r="A201" s="152" t="s">
        <v>495</v>
      </c>
      <c r="B201" s="90" t="s">
        <v>325</v>
      </c>
      <c r="C201" s="82" t="s">
        <v>340</v>
      </c>
      <c r="D201" s="410" t="s">
        <v>552</v>
      </c>
      <c r="E201" s="402"/>
      <c r="F201" s="402"/>
      <c r="G201" s="402"/>
      <c r="H201" s="403"/>
    </row>
    <row r="202" spans="1:8" ht="45">
      <c r="A202" s="152" t="s">
        <v>496</v>
      </c>
      <c r="B202" s="90" t="s">
        <v>289</v>
      </c>
      <c r="C202" s="82" t="s">
        <v>340</v>
      </c>
      <c r="D202" s="410" t="s">
        <v>584</v>
      </c>
      <c r="E202" s="402"/>
      <c r="F202" s="402"/>
      <c r="G202" s="402"/>
      <c r="H202" s="403"/>
    </row>
    <row r="203" spans="1:8">
      <c r="A203" s="31" t="s">
        <v>452</v>
      </c>
      <c r="B203" s="426" t="s">
        <v>253</v>
      </c>
      <c r="C203" s="426"/>
      <c r="D203" s="426"/>
      <c r="E203" s="426"/>
      <c r="F203" s="426"/>
      <c r="G203" s="426"/>
      <c r="H203" s="426"/>
    </row>
    <row r="204" spans="1:8" ht="356.25" customHeight="1">
      <c r="A204" s="82" t="s">
        <v>254</v>
      </c>
      <c r="B204" s="90" t="s">
        <v>344</v>
      </c>
      <c r="C204" s="82" t="s">
        <v>345</v>
      </c>
      <c r="D204" s="411" t="s">
        <v>356</v>
      </c>
      <c r="E204" s="412"/>
      <c r="F204" s="412"/>
      <c r="G204" s="412"/>
      <c r="H204" s="413"/>
    </row>
    <row r="205" spans="1:8" ht="64.5" customHeight="1">
      <c r="A205" s="82" t="s">
        <v>295</v>
      </c>
      <c r="B205" s="90" t="s">
        <v>347</v>
      </c>
      <c r="C205" s="82" t="s">
        <v>35</v>
      </c>
      <c r="D205" s="401" t="s">
        <v>364</v>
      </c>
      <c r="E205" s="402"/>
      <c r="F205" s="402"/>
      <c r="G205" s="402"/>
      <c r="H205" s="403"/>
    </row>
    <row r="206" spans="1:8">
      <c r="A206" s="31" t="s">
        <v>497</v>
      </c>
      <c r="B206" s="426" t="s">
        <v>224</v>
      </c>
      <c r="C206" s="426"/>
      <c r="D206" s="426"/>
      <c r="E206" s="426"/>
      <c r="F206" s="426"/>
      <c r="G206" s="426"/>
      <c r="H206" s="426"/>
    </row>
    <row r="207" spans="1:8">
      <c r="A207" s="24" t="s">
        <v>255</v>
      </c>
      <c r="B207" s="426" t="s">
        <v>225</v>
      </c>
      <c r="C207" s="426"/>
      <c r="D207" s="426"/>
      <c r="E207" s="426"/>
      <c r="F207" s="426"/>
      <c r="G207" s="426"/>
      <c r="H207" s="426"/>
    </row>
    <row r="208" spans="1:8" ht="156" customHeight="1">
      <c r="A208" s="147" t="s">
        <v>298</v>
      </c>
      <c r="B208" s="88" t="s">
        <v>195</v>
      </c>
      <c r="C208" s="82" t="s">
        <v>35</v>
      </c>
      <c r="D208" s="401" t="s">
        <v>712</v>
      </c>
      <c r="E208" s="402"/>
      <c r="F208" s="402"/>
      <c r="G208" s="402"/>
      <c r="H208" s="403"/>
    </row>
    <row r="209" spans="1:8" ht="45">
      <c r="A209" s="147" t="s">
        <v>299</v>
      </c>
      <c r="B209" s="90" t="s">
        <v>286</v>
      </c>
      <c r="C209" s="82" t="s">
        <v>340</v>
      </c>
      <c r="D209" s="410" t="s">
        <v>588</v>
      </c>
      <c r="E209" s="402"/>
      <c r="F209" s="402"/>
      <c r="G209" s="402"/>
      <c r="H209" s="403"/>
    </row>
    <row r="210" spans="1:8">
      <c r="A210" s="24" t="s">
        <v>256</v>
      </c>
      <c r="B210" s="452" t="s">
        <v>296</v>
      </c>
      <c r="C210" s="452"/>
      <c r="D210" s="452"/>
      <c r="E210" s="452"/>
      <c r="F210" s="452"/>
      <c r="G210" s="452"/>
      <c r="H210" s="452"/>
    </row>
    <row r="211" spans="1:8" ht="45">
      <c r="A211" s="147" t="s">
        <v>300</v>
      </c>
      <c r="B211" s="90" t="s">
        <v>285</v>
      </c>
      <c r="C211" s="82" t="s">
        <v>340</v>
      </c>
      <c r="D211" s="401" t="s">
        <v>707</v>
      </c>
      <c r="E211" s="402"/>
      <c r="F211" s="402"/>
      <c r="G211" s="402"/>
      <c r="H211" s="403"/>
    </row>
    <row r="212" spans="1:8" ht="73.5" customHeight="1">
      <c r="A212" s="147" t="s">
        <v>350</v>
      </c>
      <c r="B212" s="119" t="s">
        <v>708</v>
      </c>
      <c r="C212" s="82" t="s">
        <v>340</v>
      </c>
      <c r="D212" s="401" t="s">
        <v>709</v>
      </c>
      <c r="E212" s="402"/>
      <c r="F212" s="402"/>
      <c r="G212" s="402"/>
      <c r="H212" s="403"/>
    </row>
    <row r="213" spans="1:8" ht="107.25" customHeight="1">
      <c r="A213" s="147" t="s">
        <v>351</v>
      </c>
      <c r="B213" s="90" t="s">
        <v>326</v>
      </c>
      <c r="C213" s="82" t="s">
        <v>49</v>
      </c>
      <c r="D213" s="401" t="s">
        <v>399</v>
      </c>
      <c r="E213" s="402"/>
      <c r="F213" s="402"/>
      <c r="G213" s="402"/>
      <c r="H213" s="403"/>
    </row>
    <row r="214" spans="1:8" ht="113.25" customHeight="1">
      <c r="A214" s="147" t="s">
        <v>352</v>
      </c>
      <c r="B214" s="90" t="s">
        <v>711</v>
      </c>
      <c r="C214" s="82" t="s">
        <v>49</v>
      </c>
      <c r="D214" s="401" t="s">
        <v>710</v>
      </c>
      <c r="E214" s="402"/>
      <c r="F214" s="402"/>
      <c r="G214" s="402"/>
      <c r="H214" s="403"/>
    </row>
    <row r="215" spans="1:8" ht="102" customHeight="1">
      <c r="A215" s="147" t="s">
        <v>353</v>
      </c>
      <c r="B215" s="90" t="s">
        <v>705</v>
      </c>
      <c r="C215" s="82" t="s">
        <v>49</v>
      </c>
      <c r="D215" s="429" t="s">
        <v>706</v>
      </c>
      <c r="E215" s="447"/>
      <c r="F215" s="447"/>
      <c r="G215" s="447"/>
      <c r="H215" s="448"/>
    </row>
    <row r="216" spans="1:8">
      <c r="A216" s="31" t="s">
        <v>498</v>
      </c>
      <c r="B216" s="426" t="s">
        <v>43</v>
      </c>
      <c r="C216" s="426"/>
      <c r="D216" s="426"/>
      <c r="E216" s="426"/>
      <c r="F216" s="426"/>
      <c r="G216" s="426"/>
      <c r="H216" s="426"/>
    </row>
    <row r="217" spans="1:8" ht="58.5" customHeight="1">
      <c r="A217" s="82" t="s">
        <v>499</v>
      </c>
      <c r="B217" s="90" t="s">
        <v>401</v>
      </c>
      <c r="C217" s="82" t="s">
        <v>35</v>
      </c>
      <c r="D217" s="410" t="s">
        <v>701</v>
      </c>
      <c r="E217" s="402"/>
      <c r="F217" s="402"/>
      <c r="G217" s="402"/>
      <c r="H217" s="403"/>
    </row>
    <row r="218" spans="1:8" ht="58.5" customHeight="1">
      <c r="A218" s="82" t="s">
        <v>500</v>
      </c>
      <c r="B218" s="90" t="s">
        <v>400</v>
      </c>
      <c r="C218" s="82" t="s">
        <v>49</v>
      </c>
      <c r="D218" s="410" t="s">
        <v>700</v>
      </c>
      <c r="E218" s="402"/>
      <c r="F218" s="402"/>
      <c r="G218" s="402"/>
      <c r="H218" s="403"/>
    </row>
    <row r="219" spans="1:8" ht="58.5" customHeight="1">
      <c r="A219" s="82" t="s">
        <v>501</v>
      </c>
      <c r="B219" s="90" t="s">
        <v>283</v>
      </c>
      <c r="C219" s="82" t="s">
        <v>35</v>
      </c>
      <c r="D219" s="410" t="s">
        <v>589</v>
      </c>
      <c r="E219" s="402"/>
      <c r="F219" s="402"/>
      <c r="G219" s="402"/>
      <c r="H219" s="403"/>
    </row>
    <row r="220" spans="1:8" ht="58.5" customHeight="1">
      <c r="A220" s="82" t="s">
        <v>502</v>
      </c>
      <c r="B220" s="90" t="s">
        <v>284</v>
      </c>
      <c r="C220" s="82" t="s">
        <v>49</v>
      </c>
      <c r="D220" s="410" t="s">
        <v>703</v>
      </c>
      <c r="E220" s="402"/>
      <c r="F220" s="402"/>
      <c r="G220" s="402"/>
      <c r="H220" s="403"/>
    </row>
    <row r="221" spans="1:8" ht="60">
      <c r="A221" s="82" t="s">
        <v>519</v>
      </c>
      <c r="B221" s="148" t="s">
        <v>702</v>
      </c>
      <c r="C221" s="82" t="s">
        <v>35</v>
      </c>
      <c r="D221" s="401" t="s">
        <v>1174</v>
      </c>
      <c r="E221" s="402"/>
      <c r="F221" s="402"/>
      <c r="G221" s="402"/>
      <c r="H221" s="403"/>
    </row>
    <row r="222" spans="1:8">
      <c r="A222" s="31" t="s">
        <v>503</v>
      </c>
      <c r="B222" s="426" t="s">
        <v>297</v>
      </c>
      <c r="C222" s="426"/>
      <c r="D222" s="426"/>
      <c r="E222" s="426"/>
      <c r="F222" s="426"/>
      <c r="G222" s="426"/>
      <c r="H222" s="426"/>
    </row>
    <row r="223" spans="1:8" ht="30">
      <c r="A223" s="147" t="s">
        <v>504</v>
      </c>
      <c r="B223" s="90" t="s">
        <v>280</v>
      </c>
      <c r="C223" s="82" t="s">
        <v>35</v>
      </c>
      <c r="D223" s="404" t="s">
        <v>590</v>
      </c>
      <c r="E223" s="405"/>
      <c r="F223" s="405"/>
      <c r="G223" s="405"/>
      <c r="H223" s="406"/>
    </row>
    <row r="224" spans="1:8">
      <c r="A224" s="147" t="s">
        <v>505</v>
      </c>
      <c r="B224" s="90" t="s">
        <v>301</v>
      </c>
      <c r="C224" s="82" t="s">
        <v>340</v>
      </c>
      <c r="D224" s="410" t="s">
        <v>591</v>
      </c>
      <c r="E224" s="402"/>
      <c r="F224" s="402"/>
      <c r="G224" s="402"/>
      <c r="H224" s="403"/>
    </row>
    <row r="225" spans="1:10">
      <c r="A225" s="147" t="s">
        <v>506</v>
      </c>
      <c r="B225" s="90" t="s">
        <v>302</v>
      </c>
      <c r="C225" s="82" t="s">
        <v>340</v>
      </c>
      <c r="D225" s="410" t="s">
        <v>578</v>
      </c>
      <c r="E225" s="402"/>
      <c r="F225" s="402"/>
      <c r="G225" s="402"/>
      <c r="H225" s="403"/>
    </row>
    <row r="226" spans="1:10">
      <c r="A226" s="147" t="s">
        <v>507</v>
      </c>
      <c r="B226" s="90" t="s">
        <v>303</v>
      </c>
      <c r="C226" s="82" t="s">
        <v>340</v>
      </c>
      <c r="D226" s="410" t="s">
        <v>550</v>
      </c>
      <c r="E226" s="402"/>
      <c r="F226" s="402"/>
      <c r="G226" s="402"/>
      <c r="H226" s="403"/>
    </row>
    <row r="227" spans="1:10">
      <c r="A227" s="147" t="s">
        <v>508</v>
      </c>
      <c r="B227" s="90" t="s">
        <v>304</v>
      </c>
      <c r="C227" s="82" t="s">
        <v>340</v>
      </c>
      <c r="D227" s="410" t="s">
        <v>584</v>
      </c>
      <c r="E227" s="402"/>
      <c r="F227" s="402"/>
      <c r="G227" s="402"/>
      <c r="H227" s="403"/>
    </row>
    <row r="228" spans="1:10">
      <c r="A228" s="147" t="s">
        <v>509</v>
      </c>
      <c r="B228" s="90" t="s">
        <v>305</v>
      </c>
      <c r="C228" s="82" t="s">
        <v>340</v>
      </c>
      <c r="D228" s="410" t="s">
        <v>578</v>
      </c>
      <c r="E228" s="402"/>
      <c r="F228" s="402"/>
      <c r="G228" s="402"/>
      <c r="H228" s="403"/>
    </row>
    <row r="229" spans="1:10">
      <c r="A229" s="147" t="s">
        <v>510</v>
      </c>
      <c r="B229" s="90" t="s">
        <v>306</v>
      </c>
      <c r="C229" s="82" t="s">
        <v>35</v>
      </c>
      <c r="D229" s="404" t="s">
        <v>592</v>
      </c>
      <c r="E229" s="405"/>
      <c r="F229" s="405"/>
      <c r="G229" s="405"/>
      <c r="H229" s="406"/>
    </row>
    <row r="230" spans="1:10">
      <c r="A230" s="147" t="s">
        <v>511</v>
      </c>
      <c r="B230" s="90" t="s">
        <v>307</v>
      </c>
      <c r="C230" s="82" t="s">
        <v>35</v>
      </c>
      <c r="D230" s="404" t="s">
        <v>592</v>
      </c>
      <c r="E230" s="405"/>
      <c r="F230" s="405"/>
      <c r="G230" s="405"/>
      <c r="H230" s="406"/>
    </row>
    <row r="231" spans="1:10">
      <c r="A231" s="147" t="s">
        <v>512</v>
      </c>
      <c r="B231" s="90" t="s">
        <v>308</v>
      </c>
      <c r="C231" s="82" t="s">
        <v>35</v>
      </c>
      <c r="D231" s="404" t="s">
        <v>593</v>
      </c>
      <c r="E231" s="405"/>
      <c r="F231" s="405"/>
      <c r="G231" s="405"/>
      <c r="H231" s="406"/>
    </row>
    <row r="232" spans="1:10">
      <c r="A232" s="149"/>
      <c r="B232" s="150"/>
      <c r="C232" s="65"/>
      <c r="D232" s="75"/>
      <c r="E232" s="75"/>
      <c r="F232" s="75"/>
      <c r="G232" s="75"/>
      <c r="H232" s="75"/>
    </row>
    <row r="233" spans="1:10" ht="46.5" customHeight="1">
      <c r="A233" s="398" t="s">
        <v>1185</v>
      </c>
      <c r="B233" s="399"/>
      <c r="C233" s="399"/>
      <c r="D233" s="399"/>
      <c r="E233" s="399"/>
      <c r="F233" s="399"/>
      <c r="G233" s="399"/>
      <c r="H233" s="400"/>
      <c r="J233" s="50"/>
    </row>
    <row r="234" spans="1:10">
      <c r="A234" s="149"/>
      <c r="B234" s="150"/>
      <c r="C234" s="65"/>
      <c r="D234" s="75"/>
      <c r="E234" s="75"/>
      <c r="F234" s="65"/>
      <c r="G234" s="75"/>
      <c r="H234" s="75"/>
    </row>
    <row r="235" spans="1:10">
      <c r="A235" s="149"/>
      <c r="B235" s="150"/>
      <c r="C235" s="65"/>
      <c r="D235" s="75"/>
      <c r="E235" s="75"/>
      <c r="F235" s="65"/>
      <c r="G235" s="75"/>
      <c r="H235" s="75"/>
    </row>
    <row r="236" spans="1:10" ht="83.25" customHeight="1">
      <c r="A236" s="348" t="s">
        <v>1183</v>
      </c>
      <c r="B236" s="348"/>
      <c r="C236" s="348"/>
      <c r="D236" s="348"/>
      <c r="E236" s="348"/>
      <c r="F236" s="348"/>
      <c r="G236" s="348"/>
      <c r="H236" s="348"/>
    </row>
    <row r="237" spans="1:10">
      <c r="A237" s="149"/>
      <c r="B237" s="150"/>
      <c r="C237" s="65"/>
      <c r="D237" s="75"/>
      <c r="E237" s="75"/>
      <c r="F237" s="65"/>
      <c r="G237" s="75"/>
      <c r="H237" s="75"/>
    </row>
    <row r="238" spans="1:10" ht="45" customHeight="1">
      <c r="A238" s="149"/>
      <c r="B238" s="150"/>
      <c r="C238" s="65"/>
      <c r="D238" s="75"/>
      <c r="E238" s="75"/>
      <c r="F238" s="65"/>
      <c r="G238" s="75"/>
      <c r="H238" s="75"/>
    </row>
    <row r="239" spans="1:10">
      <c r="A239" s="149"/>
      <c r="B239" s="150"/>
      <c r="C239" s="65"/>
      <c r="D239" s="75"/>
      <c r="E239" s="75"/>
      <c r="F239" s="65"/>
      <c r="G239" s="75"/>
      <c r="H239" s="75"/>
    </row>
    <row r="240" spans="1:10">
      <c r="A240" s="149"/>
      <c r="B240" s="150"/>
      <c r="C240" s="65"/>
      <c r="D240" s="75"/>
      <c r="E240" s="75"/>
      <c r="F240" s="65"/>
      <c r="G240" s="75"/>
      <c r="H240" s="75"/>
    </row>
    <row r="241" spans="1:8">
      <c r="A241" s="149"/>
      <c r="B241" s="150"/>
      <c r="C241" s="65"/>
      <c r="D241" s="75"/>
      <c r="E241" s="75"/>
      <c r="F241" s="65"/>
      <c r="G241" s="75"/>
      <c r="H241" s="75"/>
    </row>
    <row r="242" spans="1:8">
      <c r="A242" s="149"/>
      <c r="B242" s="150"/>
      <c r="C242" s="65"/>
      <c r="D242" s="75"/>
      <c r="E242" s="75"/>
      <c r="F242" s="65"/>
      <c r="G242" s="75"/>
      <c r="H242" s="75"/>
    </row>
    <row r="243" spans="1:8">
      <c r="A243" s="149"/>
      <c r="B243" s="443"/>
      <c r="C243" s="443"/>
      <c r="D243" s="443"/>
      <c r="E243" s="443"/>
      <c r="F243" s="443"/>
      <c r="G243" s="443"/>
      <c r="H243" s="443"/>
    </row>
    <row r="244" spans="1:8">
      <c r="A244" s="149"/>
      <c r="B244" s="443"/>
      <c r="C244" s="443"/>
      <c r="D244" s="443"/>
      <c r="E244" s="443"/>
      <c r="F244" s="443"/>
      <c r="G244" s="443"/>
      <c r="H244" s="443"/>
    </row>
    <row r="245" spans="1:8">
      <c r="A245" s="149"/>
      <c r="B245" s="150"/>
      <c r="C245" s="65"/>
      <c r="D245" s="65"/>
      <c r="E245" s="65"/>
      <c r="F245" s="151"/>
      <c r="G245" s="65"/>
      <c r="H245" s="124"/>
    </row>
    <row r="246" spans="1:8">
      <c r="A246" s="149"/>
      <c r="B246" s="150"/>
      <c r="C246" s="65"/>
      <c r="D246" s="75"/>
      <c r="E246" s="75"/>
      <c r="F246" s="65"/>
      <c r="G246" s="75"/>
      <c r="H246" s="75"/>
    </row>
    <row r="247" spans="1:8">
      <c r="A247" s="149"/>
      <c r="B247" s="150"/>
      <c r="C247" s="65"/>
      <c r="D247" s="75"/>
      <c r="E247" s="75"/>
      <c r="F247" s="65"/>
      <c r="G247" s="75"/>
      <c r="H247" s="75"/>
    </row>
    <row r="248" spans="1:8">
      <c r="A248" s="149"/>
      <c r="B248" s="150"/>
      <c r="C248" s="65"/>
      <c r="D248" s="75"/>
      <c r="E248" s="75"/>
      <c r="F248" s="65"/>
      <c r="G248" s="75"/>
      <c r="H248" s="75"/>
    </row>
    <row r="249" spans="1:8">
      <c r="A249" s="149"/>
      <c r="B249" s="150"/>
      <c r="C249" s="65"/>
      <c r="D249" s="75"/>
      <c r="E249" s="75"/>
      <c r="F249" s="65"/>
      <c r="G249" s="75"/>
      <c r="H249" s="75"/>
    </row>
    <row r="250" spans="1:8">
      <c r="A250" s="149"/>
      <c r="B250" s="150"/>
      <c r="C250" s="65"/>
      <c r="D250" s="75"/>
      <c r="E250" s="75"/>
      <c r="F250" s="65"/>
      <c r="G250" s="75"/>
      <c r="H250" s="75"/>
    </row>
    <row r="251" spans="1:8">
      <c r="A251" s="149"/>
      <c r="B251" s="150"/>
      <c r="C251" s="65"/>
      <c r="D251" s="75"/>
      <c r="E251" s="75"/>
      <c r="F251" s="65"/>
      <c r="G251" s="75"/>
      <c r="H251" s="75"/>
    </row>
    <row r="252" spans="1:8">
      <c r="A252" s="149"/>
      <c r="B252" s="150"/>
      <c r="C252" s="65"/>
      <c r="D252" s="75"/>
      <c r="E252" s="75"/>
      <c r="F252" s="65"/>
      <c r="G252" s="75"/>
      <c r="H252" s="75"/>
    </row>
    <row r="253" spans="1:8">
      <c r="A253" s="149"/>
      <c r="B253" s="150"/>
      <c r="C253" s="65"/>
      <c r="D253" s="75"/>
      <c r="E253" s="75"/>
      <c r="F253" s="65"/>
      <c r="G253" s="75"/>
      <c r="H253" s="75"/>
    </row>
    <row r="254" spans="1:8">
      <c r="A254" s="149"/>
      <c r="B254" s="150"/>
      <c r="C254" s="65"/>
      <c r="D254" s="75"/>
      <c r="E254" s="75"/>
      <c r="F254" s="65"/>
      <c r="G254" s="75"/>
      <c r="H254" s="75"/>
    </row>
    <row r="255" spans="1:8">
      <c r="A255" s="149"/>
      <c r="B255" s="150"/>
      <c r="C255" s="65"/>
      <c r="D255" s="75"/>
      <c r="E255" s="75"/>
      <c r="F255" s="65"/>
      <c r="G255" s="75"/>
      <c r="H255" s="75"/>
    </row>
    <row r="256" spans="1:8">
      <c r="A256" s="149"/>
      <c r="B256" s="150"/>
      <c r="C256" s="65"/>
      <c r="D256" s="75"/>
      <c r="E256" s="75"/>
      <c r="F256" s="65"/>
      <c r="G256" s="75"/>
      <c r="H256" s="75"/>
    </row>
    <row r="257" spans="1:8">
      <c r="A257" s="149"/>
      <c r="B257" s="150"/>
      <c r="C257" s="65"/>
      <c r="D257" s="75"/>
      <c r="E257" s="75"/>
      <c r="F257" s="65"/>
      <c r="G257" s="75"/>
      <c r="H257" s="75"/>
    </row>
    <row r="258" spans="1:8">
      <c r="A258" s="149"/>
      <c r="B258" s="150"/>
      <c r="C258" s="65"/>
      <c r="D258" s="75"/>
      <c r="E258" s="75"/>
      <c r="F258" s="65"/>
      <c r="G258" s="75"/>
      <c r="H258" s="75"/>
    </row>
    <row r="259" spans="1:8">
      <c r="A259" s="149"/>
      <c r="B259" s="150"/>
      <c r="C259" s="65"/>
      <c r="D259" s="75"/>
      <c r="E259" s="75"/>
      <c r="F259" s="65"/>
      <c r="G259" s="75"/>
      <c r="H259" s="75"/>
    </row>
    <row r="260" spans="1:8">
      <c r="A260" s="149"/>
      <c r="B260" s="150"/>
      <c r="C260" s="65"/>
      <c r="D260" s="75"/>
      <c r="E260" s="75"/>
      <c r="F260" s="65"/>
      <c r="G260" s="75"/>
      <c r="H260" s="75"/>
    </row>
    <row r="261" spans="1:8">
      <c r="A261" s="149"/>
      <c r="B261" s="150"/>
      <c r="C261" s="65"/>
      <c r="D261" s="75"/>
      <c r="E261" s="75"/>
      <c r="F261" s="65"/>
      <c r="G261" s="75"/>
      <c r="H261" s="75"/>
    </row>
    <row r="262" spans="1:8">
      <c r="A262" s="149"/>
      <c r="B262" s="150"/>
      <c r="C262" s="65"/>
      <c r="D262" s="75"/>
      <c r="E262" s="75"/>
      <c r="F262" s="65"/>
      <c r="G262" s="75"/>
      <c r="H262" s="75"/>
    </row>
    <row r="263" spans="1:8">
      <c r="A263" s="149"/>
      <c r="B263" s="150"/>
      <c r="C263" s="65"/>
      <c r="D263" s="75"/>
      <c r="E263" s="75"/>
      <c r="F263" s="65"/>
      <c r="G263" s="75"/>
      <c r="H263" s="75"/>
    </row>
    <row r="264" spans="1:8">
      <c r="A264" s="149"/>
      <c r="B264" s="150"/>
      <c r="C264" s="65"/>
      <c r="D264" s="75"/>
      <c r="E264" s="75"/>
      <c r="F264" s="65"/>
      <c r="G264" s="75"/>
      <c r="H264" s="75"/>
    </row>
    <row r="265" spans="1:8">
      <c r="A265" s="149"/>
      <c r="B265" s="150"/>
      <c r="C265" s="65"/>
      <c r="D265" s="75"/>
      <c r="E265" s="75"/>
      <c r="F265" s="65"/>
      <c r="G265" s="75"/>
      <c r="H265" s="75"/>
    </row>
    <row r="266" spans="1:8">
      <c r="A266" s="149"/>
      <c r="B266" s="150"/>
      <c r="C266" s="65"/>
      <c r="D266" s="75"/>
      <c r="E266" s="75"/>
      <c r="F266" s="65"/>
      <c r="G266" s="75"/>
      <c r="H266" s="75"/>
    </row>
    <row r="267" spans="1:8">
      <c r="A267" s="27"/>
      <c r="B267" s="34"/>
      <c r="C267" s="29"/>
      <c r="D267" s="28"/>
      <c r="E267" s="28"/>
      <c r="F267" s="29"/>
      <c r="G267" s="28"/>
      <c r="H267" s="28"/>
    </row>
    <row r="268" spans="1:8">
      <c r="A268" s="27"/>
      <c r="B268" s="34"/>
      <c r="C268" s="29"/>
      <c r="D268" s="28"/>
      <c r="E268" s="28"/>
      <c r="F268" s="29"/>
      <c r="G268" s="28"/>
      <c r="H268" s="28"/>
    </row>
    <row r="269" spans="1:8">
      <c r="A269" s="27"/>
      <c r="B269" s="34"/>
      <c r="C269" s="29"/>
      <c r="D269" s="28"/>
      <c r="E269" s="28"/>
      <c r="F269" s="29"/>
      <c r="G269" s="28"/>
      <c r="H269" s="28"/>
    </row>
    <row r="270" spans="1:8">
      <c r="A270" s="27"/>
      <c r="B270" s="34"/>
      <c r="C270" s="29"/>
      <c r="D270" s="28"/>
      <c r="E270" s="28"/>
      <c r="F270" s="29"/>
      <c r="G270" s="28"/>
      <c r="H270" s="28"/>
    </row>
    <row r="271" spans="1:8">
      <c r="A271" s="27"/>
      <c r="B271" s="34"/>
      <c r="C271" s="29"/>
      <c r="D271" s="28"/>
      <c r="E271" s="28"/>
      <c r="F271" s="29"/>
      <c r="G271" s="28"/>
      <c r="H271" s="28"/>
    </row>
    <row r="272" spans="1:8">
      <c r="A272" s="27"/>
      <c r="B272" s="34"/>
      <c r="C272" s="29"/>
      <c r="D272" s="28"/>
      <c r="E272" s="28"/>
      <c r="F272" s="29"/>
      <c r="G272" s="28"/>
      <c r="H272" s="28"/>
    </row>
    <row r="273" spans="1:8">
      <c r="A273" s="27"/>
      <c r="B273" s="34"/>
      <c r="C273" s="29"/>
      <c r="D273" s="28"/>
      <c r="E273" s="28"/>
      <c r="F273" s="29"/>
      <c r="G273" s="28"/>
      <c r="H273" s="28"/>
    </row>
    <row r="274" spans="1:8">
      <c r="A274" s="27"/>
      <c r="B274" s="34"/>
      <c r="C274" s="29"/>
      <c r="D274" s="28"/>
      <c r="E274" s="28"/>
      <c r="F274" s="29"/>
      <c r="G274" s="28"/>
      <c r="H274" s="28"/>
    </row>
    <row r="275" spans="1:8">
      <c r="A275" s="27"/>
      <c r="B275" s="34"/>
      <c r="C275" s="29"/>
      <c r="D275" s="28"/>
      <c r="E275" s="28"/>
      <c r="F275" s="29"/>
      <c r="G275" s="28"/>
      <c r="H275" s="28"/>
    </row>
    <row r="276" spans="1:8">
      <c r="A276" s="27"/>
      <c r="B276" s="34"/>
      <c r="C276" s="29"/>
      <c r="D276" s="28"/>
      <c r="E276" s="28"/>
      <c r="F276" s="29"/>
      <c r="G276" s="28"/>
      <c r="H276" s="28"/>
    </row>
    <row r="277" spans="1:8">
      <c r="A277" s="27"/>
      <c r="B277" s="34"/>
      <c r="C277" s="29"/>
      <c r="D277" s="28"/>
      <c r="E277" s="28"/>
      <c r="F277" s="29"/>
      <c r="G277" s="28"/>
      <c r="H277" s="28"/>
    </row>
    <row r="278" spans="1:8">
      <c r="A278" s="27"/>
      <c r="B278" s="34"/>
      <c r="C278" s="29"/>
      <c r="D278" s="28"/>
      <c r="E278" s="28"/>
      <c r="F278" s="29"/>
      <c r="G278" s="28"/>
      <c r="H278" s="28"/>
    </row>
    <row r="279" spans="1:8">
      <c r="A279" s="27"/>
      <c r="B279" s="34"/>
      <c r="C279" s="29"/>
      <c r="D279" s="28"/>
      <c r="E279" s="28"/>
      <c r="F279" s="29"/>
      <c r="G279" s="28"/>
      <c r="H279" s="28"/>
    </row>
  </sheetData>
  <mergeCells count="221">
    <mergeCell ref="D13:H13"/>
    <mergeCell ref="D11:H11"/>
    <mergeCell ref="D14:H14"/>
    <mergeCell ref="D15:H15"/>
    <mergeCell ref="D16:H16"/>
    <mergeCell ref="D17:H17"/>
    <mergeCell ref="D18:H18"/>
    <mergeCell ref="D23:H23"/>
    <mergeCell ref="D24:H24"/>
    <mergeCell ref="A1:A4"/>
    <mergeCell ref="B1:H4"/>
    <mergeCell ref="D19:H19"/>
    <mergeCell ref="D20:H20"/>
    <mergeCell ref="D88:H88"/>
    <mergeCell ref="D89:H89"/>
    <mergeCell ref="D21:H21"/>
    <mergeCell ref="D33:H33"/>
    <mergeCell ref="D34:H34"/>
    <mergeCell ref="D37:H37"/>
    <mergeCell ref="D38:H38"/>
    <mergeCell ref="D77:H77"/>
    <mergeCell ref="D78:H78"/>
    <mergeCell ref="B74:D74"/>
    <mergeCell ref="D6:H6"/>
    <mergeCell ref="D25:H25"/>
    <mergeCell ref="D22:H22"/>
    <mergeCell ref="D84:H84"/>
    <mergeCell ref="D85:H85"/>
    <mergeCell ref="A5:H5"/>
    <mergeCell ref="D60:H60"/>
    <mergeCell ref="D61:H61"/>
    <mergeCell ref="D63:H63"/>
    <mergeCell ref="D48:H48"/>
    <mergeCell ref="I45:L45"/>
    <mergeCell ref="D30:H30"/>
    <mergeCell ref="D52:H52"/>
    <mergeCell ref="D53:H53"/>
    <mergeCell ref="D54:H54"/>
    <mergeCell ref="B86:G86"/>
    <mergeCell ref="B87:G87"/>
    <mergeCell ref="D79:H79"/>
    <mergeCell ref="D81:H81"/>
    <mergeCell ref="D82:H82"/>
    <mergeCell ref="D83:H83"/>
    <mergeCell ref="B80:D80"/>
    <mergeCell ref="D73:H73"/>
    <mergeCell ref="D75:H75"/>
    <mergeCell ref="D76:H76"/>
    <mergeCell ref="D65:H65"/>
    <mergeCell ref="D68:H68"/>
    <mergeCell ref="D69:H69"/>
    <mergeCell ref="D70:H70"/>
    <mergeCell ref="D71:H71"/>
    <mergeCell ref="D72:H72"/>
    <mergeCell ref="D55:H55"/>
    <mergeCell ref="D56:H56"/>
    <mergeCell ref="D57:H57"/>
    <mergeCell ref="B243:H243"/>
    <mergeCell ref="B244:H244"/>
    <mergeCell ref="D9:H9"/>
    <mergeCell ref="D10:H10"/>
    <mergeCell ref="D12:H12"/>
    <mergeCell ref="B203:H203"/>
    <mergeCell ref="B206:H206"/>
    <mergeCell ref="B207:H207"/>
    <mergeCell ref="B210:H210"/>
    <mergeCell ref="D212:H212"/>
    <mergeCell ref="D213:H213"/>
    <mergeCell ref="D215:H215"/>
    <mergeCell ref="B145:H145"/>
    <mergeCell ref="B177:H177"/>
    <mergeCell ref="B185:H185"/>
    <mergeCell ref="B186:H186"/>
    <mergeCell ref="D147:H147"/>
    <mergeCell ref="D148:H148"/>
    <mergeCell ref="D149:H149"/>
    <mergeCell ref="D90:H90"/>
    <mergeCell ref="D91:H91"/>
    <mergeCell ref="D221:H221"/>
    <mergeCell ref="A236:H236"/>
    <mergeCell ref="B216:H216"/>
    <mergeCell ref="B222:H222"/>
    <mergeCell ref="D150:H150"/>
    <mergeCell ref="B100:H100"/>
    <mergeCell ref="B102:H102"/>
    <mergeCell ref="B144:H144"/>
    <mergeCell ref="D105:H105"/>
    <mergeCell ref="D106:H106"/>
    <mergeCell ref="D107:H107"/>
    <mergeCell ref="D108:H108"/>
    <mergeCell ref="D109:H109"/>
    <mergeCell ref="D110:H110"/>
    <mergeCell ref="D111:H111"/>
    <mergeCell ref="D112:H112"/>
    <mergeCell ref="D113:H113"/>
    <mergeCell ref="D114:H114"/>
    <mergeCell ref="D122:H122"/>
    <mergeCell ref="D123:H123"/>
    <mergeCell ref="D124:H124"/>
    <mergeCell ref="D125:H125"/>
    <mergeCell ref="D127:H127"/>
    <mergeCell ref="D129:H129"/>
    <mergeCell ref="D130:H130"/>
    <mergeCell ref="D131:H131"/>
    <mergeCell ref="D132:H132"/>
    <mergeCell ref="D50:H50"/>
    <mergeCell ref="D27:H27"/>
    <mergeCell ref="D28:H28"/>
    <mergeCell ref="D29:H29"/>
    <mergeCell ref="D39:H39"/>
    <mergeCell ref="D40:H40"/>
    <mergeCell ref="D41:H41"/>
    <mergeCell ref="D44:H44"/>
    <mergeCell ref="D45:H45"/>
    <mergeCell ref="D47:H47"/>
    <mergeCell ref="D31:H31"/>
    <mergeCell ref="D42:H42"/>
    <mergeCell ref="D35:H35"/>
    <mergeCell ref="D46:H46"/>
    <mergeCell ref="D93:H93"/>
    <mergeCell ref="D96:H96"/>
    <mergeCell ref="D98:H98"/>
    <mergeCell ref="D99:H99"/>
    <mergeCell ref="D101:H101"/>
    <mergeCell ref="D104:H104"/>
    <mergeCell ref="B94:G94"/>
    <mergeCell ref="D121:H121"/>
    <mergeCell ref="B92:G92"/>
    <mergeCell ref="D152:H152"/>
    <mergeCell ref="D153:H153"/>
    <mergeCell ref="D154:H154"/>
    <mergeCell ref="D155:H155"/>
    <mergeCell ref="D156:H156"/>
    <mergeCell ref="D151:H151"/>
    <mergeCell ref="D126:H126"/>
    <mergeCell ref="D115:H115"/>
    <mergeCell ref="D117:H117"/>
    <mergeCell ref="D118:H118"/>
    <mergeCell ref="D119:H119"/>
    <mergeCell ref="D120:H120"/>
    <mergeCell ref="D133:H133"/>
    <mergeCell ref="D134:H134"/>
    <mergeCell ref="D135:H135"/>
    <mergeCell ref="D139:H139"/>
    <mergeCell ref="D140:H140"/>
    <mergeCell ref="D141:H141"/>
    <mergeCell ref="D142:H142"/>
    <mergeCell ref="D143:H143"/>
    <mergeCell ref="D146:H146"/>
    <mergeCell ref="D136:H136"/>
    <mergeCell ref="D137:H137"/>
    <mergeCell ref="D138:H138"/>
    <mergeCell ref="D163:H163"/>
    <mergeCell ref="D164:H164"/>
    <mergeCell ref="D165:H165"/>
    <mergeCell ref="D166:H166"/>
    <mergeCell ref="D167:H167"/>
    <mergeCell ref="D168:H168"/>
    <mergeCell ref="D157:H157"/>
    <mergeCell ref="D158:H158"/>
    <mergeCell ref="D159:H159"/>
    <mergeCell ref="D160:H160"/>
    <mergeCell ref="D161:H161"/>
    <mergeCell ref="D162:H162"/>
    <mergeCell ref="D175:H175"/>
    <mergeCell ref="D176:H176"/>
    <mergeCell ref="D178:H178"/>
    <mergeCell ref="D179:H179"/>
    <mergeCell ref="D180:H180"/>
    <mergeCell ref="D181:H181"/>
    <mergeCell ref="D169:H169"/>
    <mergeCell ref="D170:H170"/>
    <mergeCell ref="D171:H171"/>
    <mergeCell ref="D172:H172"/>
    <mergeCell ref="D173:H173"/>
    <mergeCell ref="D174:H174"/>
    <mergeCell ref="D190:H190"/>
    <mergeCell ref="D191:H191"/>
    <mergeCell ref="D192:H192"/>
    <mergeCell ref="D193:H193"/>
    <mergeCell ref="D195:H195"/>
    <mergeCell ref="D182:H182"/>
    <mergeCell ref="D183:H183"/>
    <mergeCell ref="D184:H184"/>
    <mergeCell ref="D187:H187"/>
    <mergeCell ref="D188:H188"/>
    <mergeCell ref="D189:H189"/>
    <mergeCell ref="D204:H204"/>
    <mergeCell ref="D205:H205"/>
    <mergeCell ref="D208:H208"/>
    <mergeCell ref="D209:H209"/>
    <mergeCell ref="D211:H211"/>
    <mergeCell ref="D196:H196"/>
    <mergeCell ref="D197:H197"/>
    <mergeCell ref="D199:H199"/>
    <mergeCell ref="D200:H200"/>
    <mergeCell ref="D201:H201"/>
    <mergeCell ref="A233:H233"/>
    <mergeCell ref="D214:H214"/>
    <mergeCell ref="D231:H231"/>
    <mergeCell ref="B26:D26"/>
    <mergeCell ref="B51:D51"/>
    <mergeCell ref="B58:D58"/>
    <mergeCell ref="B59:D59"/>
    <mergeCell ref="B62:D62"/>
    <mergeCell ref="B64:D64"/>
    <mergeCell ref="B66:D66"/>
    <mergeCell ref="B67:D67"/>
    <mergeCell ref="D225:H225"/>
    <mergeCell ref="D226:H226"/>
    <mergeCell ref="D227:H227"/>
    <mergeCell ref="D228:H228"/>
    <mergeCell ref="D229:H229"/>
    <mergeCell ref="D230:H230"/>
    <mergeCell ref="D217:H217"/>
    <mergeCell ref="D218:H218"/>
    <mergeCell ref="D219:H219"/>
    <mergeCell ref="D220:H220"/>
    <mergeCell ref="D223:H223"/>
    <mergeCell ref="D224:H224"/>
    <mergeCell ref="D202:H202"/>
  </mergeCells>
  <phoneticPr fontId="78" type="noConversion"/>
  <pageMargins left="0.51181102362204722" right="0.51181102362204722" top="0.78740157480314965" bottom="0.78740157480314965" header="0.31496062992125984" footer="0.31496062992125984"/>
  <pageSetup paperSize="9" scale="7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A471F-17CD-46EC-AF6A-6C6A3730D1BD}">
  <dimension ref="A1:X232"/>
  <sheetViews>
    <sheetView zoomScale="70" zoomScaleNormal="70" workbookViewId="0">
      <selection activeCell="P237" sqref="P237"/>
    </sheetView>
  </sheetViews>
  <sheetFormatPr defaultColWidth="8.85546875" defaultRowHeight="15"/>
  <cols>
    <col min="1" max="1" width="8.140625" style="133" customWidth="1"/>
    <col min="2" max="2" width="36.28515625" style="133" customWidth="1"/>
    <col min="3" max="3" width="12.28515625" style="133" customWidth="1"/>
    <col min="4" max="4" width="10.85546875" style="4" bestFit="1" customWidth="1"/>
    <col min="5" max="5" width="10.28515625" style="133" bestFit="1" customWidth="1"/>
    <col min="6" max="6" width="11" style="242" bestFit="1" customWidth="1"/>
    <col min="7" max="7" width="7.7109375" style="4" bestFit="1" customWidth="1"/>
    <col min="8" max="8" width="9.28515625" style="133" bestFit="1" customWidth="1"/>
    <col min="9" max="9" width="16.140625" style="133" customWidth="1"/>
    <col min="10" max="12" width="9" style="133" customWidth="1"/>
    <col min="13" max="13" width="10" style="133" customWidth="1"/>
    <col min="14" max="14" width="5.5703125" style="133" customWidth="1"/>
    <col min="15" max="15" width="15" style="133" customWidth="1"/>
    <col min="16" max="16" width="11.42578125" style="133" customWidth="1"/>
    <col min="17" max="17" width="12.85546875" style="280" bestFit="1" customWidth="1"/>
    <col min="18" max="18" width="14" style="4" bestFit="1" customWidth="1"/>
    <col min="19" max="19" width="14.140625" style="284" customWidth="1"/>
    <col min="20" max="20" width="14.140625" style="281" bestFit="1" customWidth="1"/>
    <col min="21" max="21" width="14.140625" style="267" customWidth="1"/>
    <col min="22" max="22" width="30" style="6" hidden="1" customWidth="1"/>
    <col min="23" max="23" width="70.5703125" style="6" hidden="1" customWidth="1"/>
    <col min="24" max="24" width="8.85546875" style="6" hidden="1" customWidth="1"/>
    <col min="25" max="256" width="8.85546875" style="6"/>
    <col min="257" max="257" width="8.140625" style="6" customWidth="1"/>
    <col min="258" max="258" width="54.140625" style="6" customWidth="1"/>
    <col min="259" max="259" width="13.5703125" style="6" bestFit="1" customWidth="1"/>
    <col min="260" max="260" width="10.85546875" style="6" bestFit="1" customWidth="1"/>
    <col min="261" max="261" width="10.28515625" style="6" bestFit="1" customWidth="1"/>
    <col min="262" max="262" width="11" style="6" bestFit="1" customWidth="1"/>
    <col min="263" max="263" width="7.7109375" style="6" bestFit="1" customWidth="1"/>
    <col min="264" max="264" width="9.28515625" style="6" bestFit="1" customWidth="1"/>
    <col min="265" max="265" width="13.7109375" style="6" bestFit="1" customWidth="1"/>
    <col min="266" max="268" width="9" style="6" customWidth="1"/>
    <col min="269" max="269" width="10" style="6" customWidth="1"/>
    <col min="270" max="270" width="5.5703125" style="6" customWidth="1"/>
    <col min="271" max="271" width="15" style="6" customWidth="1"/>
    <col min="272" max="272" width="11.42578125" style="6" customWidth="1"/>
    <col min="273" max="273" width="12.85546875" style="6" bestFit="1" customWidth="1"/>
    <col min="274" max="274" width="14" style="6" bestFit="1" customWidth="1"/>
    <col min="275" max="275" width="22.5703125" style="6" bestFit="1" customWidth="1"/>
    <col min="276" max="276" width="14.140625" style="6" bestFit="1" customWidth="1"/>
    <col min="277" max="277" width="14.140625" style="6" customWidth="1"/>
    <col min="278" max="280" width="0" style="6" hidden="1" customWidth="1"/>
    <col min="281" max="512" width="8.85546875" style="6"/>
    <col min="513" max="513" width="8.140625" style="6" customWidth="1"/>
    <col min="514" max="514" width="54.140625" style="6" customWidth="1"/>
    <col min="515" max="515" width="13.5703125" style="6" bestFit="1" customWidth="1"/>
    <col min="516" max="516" width="10.85546875" style="6" bestFit="1" customWidth="1"/>
    <col min="517" max="517" width="10.28515625" style="6" bestFit="1" customWidth="1"/>
    <col min="518" max="518" width="11" style="6" bestFit="1" customWidth="1"/>
    <col min="519" max="519" width="7.7109375" style="6" bestFit="1" customWidth="1"/>
    <col min="520" max="520" width="9.28515625" style="6" bestFit="1" customWidth="1"/>
    <col min="521" max="521" width="13.7109375" style="6" bestFit="1" customWidth="1"/>
    <col min="522" max="524" width="9" style="6" customWidth="1"/>
    <col min="525" max="525" width="10" style="6" customWidth="1"/>
    <col min="526" max="526" width="5.5703125" style="6" customWidth="1"/>
    <col min="527" max="527" width="15" style="6" customWidth="1"/>
    <col min="528" max="528" width="11.42578125" style="6" customWidth="1"/>
    <col min="529" max="529" width="12.85546875" style="6" bestFit="1" customWidth="1"/>
    <col min="530" max="530" width="14" style="6" bestFit="1" customWidth="1"/>
    <col min="531" max="531" width="22.5703125" style="6" bestFit="1" customWidth="1"/>
    <col min="532" max="532" width="14.140625" style="6" bestFit="1" customWidth="1"/>
    <col min="533" max="533" width="14.140625" style="6" customWidth="1"/>
    <col min="534" max="536" width="0" style="6" hidden="1" customWidth="1"/>
    <col min="537" max="768" width="8.85546875" style="6"/>
    <col min="769" max="769" width="8.140625" style="6" customWidth="1"/>
    <col min="770" max="770" width="54.140625" style="6" customWidth="1"/>
    <col min="771" max="771" width="13.5703125" style="6" bestFit="1" customWidth="1"/>
    <col min="772" max="772" width="10.85546875" style="6" bestFit="1" customWidth="1"/>
    <col min="773" max="773" width="10.28515625" style="6" bestFit="1" customWidth="1"/>
    <col min="774" max="774" width="11" style="6" bestFit="1" customWidth="1"/>
    <col min="775" max="775" width="7.7109375" style="6" bestFit="1" customWidth="1"/>
    <col min="776" max="776" width="9.28515625" style="6" bestFit="1" customWidth="1"/>
    <col min="777" max="777" width="13.7109375" style="6" bestFit="1" customWidth="1"/>
    <col min="778" max="780" width="9" style="6" customWidth="1"/>
    <col min="781" max="781" width="10" style="6" customWidth="1"/>
    <col min="782" max="782" width="5.5703125" style="6" customWidth="1"/>
    <col min="783" max="783" width="15" style="6" customWidth="1"/>
    <col min="784" max="784" width="11.42578125" style="6" customWidth="1"/>
    <col min="785" max="785" width="12.85546875" style="6" bestFit="1" customWidth="1"/>
    <col min="786" max="786" width="14" style="6" bestFit="1" customWidth="1"/>
    <col min="787" max="787" width="22.5703125" style="6" bestFit="1" customWidth="1"/>
    <col min="788" max="788" width="14.140625" style="6" bestFit="1" customWidth="1"/>
    <col min="789" max="789" width="14.140625" style="6" customWidth="1"/>
    <col min="790" max="792" width="0" style="6" hidden="1" customWidth="1"/>
    <col min="793" max="1024" width="8.85546875" style="6"/>
    <col min="1025" max="1025" width="8.140625" style="6" customWidth="1"/>
    <col min="1026" max="1026" width="54.140625" style="6" customWidth="1"/>
    <col min="1027" max="1027" width="13.5703125" style="6" bestFit="1" customWidth="1"/>
    <col min="1028" max="1028" width="10.85546875" style="6" bestFit="1" customWidth="1"/>
    <col min="1029" max="1029" width="10.28515625" style="6" bestFit="1" customWidth="1"/>
    <col min="1030" max="1030" width="11" style="6" bestFit="1" customWidth="1"/>
    <col min="1031" max="1031" width="7.7109375" style="6" bestFit="1" customWidth="1"/>
    <col min="1032" max="1032" width="9.28515625" style="6" bestFit="1" customWidth="1"/>
    <col min="1033" max="1033" width="13.7109375" style="6" bestFit="1" customWidth="1"/>
    <col min="1034" max="1036" width="9" style="6" customWidth="1"/>
    <col min="1037" max="1037" width="10" style="6" customWidth="1"/>
    <col min="1038" max="1038" width="5.5703125" style="6" customWidth="1"/>
    <col min="1039" max="1039" width="15" style="6" customWidth="1"/>
    <col min="1040" max="1040" width="11.42578125" style="6" customWidth="1"/>
    <col min="1041" max="1041" width="12.85546875" style="6" bestFit="1" customWidth="1"/>
    <col min="1042" max="1042" width="14" style="6" bestFit="1" customWidth="1"/>
    <col min="1043" max="1043" width="22.5703125" style="6" bestFit="1" customWidth="1"/>
    <col min="1044" max="1044" width="14.140625" style="6" bestFit="1" customWidth="1"/>
    <col min="1045" max="1045" width="14.140625" style="6" customWidth="1"/>
    <col min="1046" max="1048" width="0" style="6" hidden="1" customWidth="1"/>
    <col min="1049" max="1280" width="8.85546875" style="6"/>
    <col min="1281" max="1281" width="8.140625" style="6" customWidth="1"/>
    <col min="1282" max="1282" width="54.140625" style="6" customWidth="1"/>
    <col min="1283" max="1283" width="13.5703125" style="6" bestFit="1" customWidth="1"/>
    <col min="1284" max="1284" width="10.85546875" style="6" bestFit="1" customWidth="1"/>
    <col min="1285" max="1285" width="10.28515625" style="6" bestFit="1" customWidth="1"/>
    <col min="1286" max="1286" width="11" style="6" bestFit="1" customWidth="1"/>
    <col min="1287" max="1287" width="7.7109375" style="6" bestFit="1" customWidth="1"/>
    <col min="1288" max="1288" width="9.28515625" style="6" bestFit="1" customWidth="1"/>
    <col min="1289" max="1289" width="13.7109375" style="6" bestFit="1" customWidth="1"/>
    <col min="1290" max="1292" width="9" style="6" customWidth="1"/>
    <col min="1293" max="1293" width="10" style="6" customWidth="1"/>
    <col min="1294" max="1294" width="5.5703125" style="6" customWidth="1"/>
    <col min="1295" max="1295" width="15" style="6" customWidth="1"/>
    <col min="1296" max="1296" width="11.42578125" style="6" customWidth="1"/>
    <col min="1297" max="1297" width="12.85546875" style="6" bestFit="1" customWidth="1"/>
    <col min="1298" max="1298" width="14" style="6" bestFit="1" customWidth="1"/>
    <col min="1299" max="1299" width="22.5703125" style="6" bestFit="1" customWidth="1"/>
    <col min="1300" max="1300" width="14.140625" style="6" bestFit="1" customWidth="1"/>
    <col min="1301" max="1301" width="14.140625" style="6" customWidth="1"/>
    <col min="1302" max="1304" width="0" style="6" hidden="1" customWidth="1"/>
    <col min="1305" max="1536" width="8.85546875" style="6"/>
    <col min="1537" max="1537" width="8.140625" style="6" customWidth="1"/>
    <col min="1538" max="1538" width="54.140625" style="6" customWidth="1"/>
    <col min="1539" max="1539" width="13.5703125" style="6" bestFit="1" customWidth="1"/>
    <col min="1540" max="1540" width="10.85546875" style="6" bestFit="1" customWidth="1"/>
    <col min="1541" max="1541" width="10.28515625" style="6" bestFit="1" customWidth="1"/>
    <col min="1542" max="1542" width="11" style="6" bestFit="1" customWidth="1"/>
    <col min="1543" max="1543" width="7.7109375" style="6" bestFit="1" customWidth="1"/>
    <col min="1544" max="1544" width="9.28515625" style="6" bestFit="1" customWidth="1"/>
    <col min="1545" max="1545" width="13.7109375" style="6" bestFit="1" customWidth="1"/>
    <col min="1546" max="1548" width="9" style="6" customWidth="1"/>
    <col min="1549" max="1549" width="10" style="6" customWidth="1"/>
    <col min="1550" max="1550" width="5.5703125" style="6" customWidth="1"/>
    <col min="1551" max="1551" width="15" style="6" customWidth="1"/>
    <col min="1552" max="1552" width="11.42578125" style="6" customWidth="1"/>
    <col min="1553" max="1553" width="12.85546875" style="6" bestFit="1" customWidth="1"/>
    <col min="1554" max="1554" width="14" style="6" bestFit="1" customWidth="1"/>
    <col min="1555" max="1555" width="22.5703125" style="6" bestFit="1" customWidth="1"/>
    <col min="1556" max="1556" width="14.140625" style="6" bestFit="1" customWidth="1"/>
    <col min="1557" max="1557" width="14.140625" style="6" customWidth="1"/>
    <col min="1558" max="1560" width="0" style="6" hidden="1" customWidth="1"/>
    <col min="1561" max="1792" width="8.85546875" style="6"/>
    <col min="1793" max="1793" width="8.140625" style="6" customWidth="1"/>
    <col min="1794" max="1794" width="54.140625" style="6" customWidth="1"/>
    <col min="1795" max="1795" width="13.5703125" style="6" bestFit="1" customWidth="1"/>
    <col min="1796" max="1796" width="10.85546875" style="6" bestFit="1" customWidth="1"/>
    <col min="1797" max="1797" width="10.28515625" style="6" bestFit="1" customWidth="1"/>
    <col min="1798" max="1798" width="11" style="6" bestFit="1" customWidth="1"/>
    <col min="1799" max="1799" width="7.7109375" style="6" bestFit="1" customWidth="1"/>
    <col min="1800" max="1800" width="9.28515625" style="6" bestFit="1" customWidth="1"/>
    <col min="1801" max="1801" width="13.7109375" style="6" bestFit="1" customWidth="1"/>
    <col min="1802" max="1804" width="9" style="6" customWidth="1"/>
    <col min="1805" max="1805" width="10" style="6" customWidth="1"/>
    <col min="1806" max="1806" width="5.5703125" style="6" customWidth="1"/>
    <col min="1807" max="1807" width="15" style="6" customWidth="1"/>
    <col min="1808" max="1808" width="11.42578125" style="6" customWidth="1"/>
    <col min="1809" max="1809" width="12.85546875" style="6" bestFit="1" customWidth="1"/>
    <col min="1810" max="1810" width="14" style="6" bestFit="1" customWidth="1"/>
    <col min="1811" max="1811" width="22.5703125" style="6" bestFit="1" customWidth="1"/>
    <col min="1812" max="1812" width="14.140625" style="6" bestFit="1" customWidth="1"/>
    <col min="1813" max="1813" width="14.140625" style="6" customWidth="1"/>
    <col min="1814" max="1816" width="0" style="6" hidden="1" customWidth="1"/>
    <col min="1817" max="2048" width="8.85546875" style="6"/>
    <col min="2049" max="2049" width="8.140625" style="6" customWidth="1"/>
    <col min="2050" max="2050" width="54.140625" style="6" customWidth="1"/>
    <col min="2051" max="2051" width="13.5703125" style="6" bestFit="1" customWidth="1"/>
    <col min="2052" max="2052" width="10.85546875" style="6" bestFit="1" customWidth="1"/>
    <col min="2053" max="2053" width="10.28515625" style="6" bestFit="1" customWidth="1"/>
    <col min="2054" max="2054" width="11" style="6" bestFit="1" customWidth="1"/>
    <col min="2055" max="2055" width="7.7109375" style="6" bestFit="1" customWidth="1"/>
    <col min="2056" max="2056" width="9.28515625" style="6" bestFit="1" customWidth="1"/>
    <col min="2057" max="2057" width="13.7109375" style="6" bestFit="1" customWidth="1"/>
    <col min="2058" max="2060" width="9" style="6" customWidth="1"/>
    <col min="2061" max="2061" width="10" style="6" customWidth="1"/>
    <col min="2062" max="2062" width="5.5703125" style="6" customWidth="1"/>
    <col min="2063" max="2063" width="15" style="6" customWidth="1"/>
    <col min="2064" max="2064" width="11.42578125" style="6" customWidth="1"/>
    <col min="2065" max="2065" width="12.85546875" style="6" bestFit="1" customWidth="1"/>
    <col min="2066" max="2066" width="14" style="6" bestFit="1" customWidth="1"/>
    <col min="2067" max="2067" width="22.5703125" style="6" bestFit="1" customWidth="1"/>
    <col min="2068" max="2068" width="14.140625" style="6" bestFit="1" customWidth="1"/>
    <col min="2069" max="2069" width="14.140625" style="6" customWidth="1"/>
    <col min="2070" max="2072" width="0" style="6" hidden="1" customWidth="1"/>
    <col min="2073" max="2304" width="8.85546875" style="6"/>
    <col min="2305" max="2305" width="8.140625" style="6" customWidth="1"/>
    <col min="2306" max="2306" width="54.140625" style="6" customWidth="1"/>
    <col min="2307" max="2307" width="13.5703125" style="6" bestFit="1" customWidth="1"/>
    <col min="2308" max="2308" width="10.85546875" style="6" bestFit="1" customWidth="1"/>
    <col min="2309" max="2309" width="10.28515625" style="6" bestFit="1" customWidth="1"/>
    <col min="2310" max="2310" width="11" style="6" bestFit="1" customWidth="1"/>
    <col min="2311" max="2311" width="7.7109375" style="6" bestFit="1" customWidth="1"/>
    <col min="2312" max="2312" width="9.28515625" style="6" bestFit="1" customWidth="1"/>
    <col min="2313" max="2313" width="13.7109375" style="6" bestFit="1" customWidth="1"/>
    <col min="2314" max="2316" width="9" style="6" customWidth="1"/>
    <col min="2317" max="2317" width="10" style="6" customWidth="1"/>
    <col min="2318" max="2318" width="5.5703125" style="6" customWidth="1"/>
    <col min="2319" max="2319" width="15" style="6" customWidth="1"/>
    <col min="2320" max="2320" width="11.42578125" style="6" customWidth="1"/>
    <col min="2321" max="2321" width="12.85546875" style="6" bestFit="1" customWidth="1"/>
    <col min="2322" max="2322" width="14" style="6" bestFit="1" customWidth="1"/>
    <col min="2323" max="2323" width="22.5703125" style="6" bestFit="1" customWidth="1"/>
    <col min="2324" max="2324" width="14.140625" style="6" bestFit="1" customWidth="1"/>
    <col min="2325" max="2325" width="14.140625" style="6" customWidth="1"/>
    <col min="2326" max="2328" width="0" style="6" hidden="1" customWidth="1"/>
    <col min="2329" max="2560" width="8.85546875" style="6"/>
    <col min="2561" max="2561" width="8.140625" style="6" customWidth="1"/>
    <col min="2562" max="2562" width="54.140625" style="6" customWidth="1"/>
    <col min="2563" max="2563" width="13.5703125" style="6" bestFit="1" customWidth="1"/>
    <col min="2564" max="2564" width="10.85546875" style="6" bestFit="1" customWidth="1"/>
    <col min="2565" max="2565" width="10.28515625" style="6" bestFit="1" customWidth="1"/>
    <col min="2566" max="2566" width="11" style="6" bestFit="1" customWidth="1"/>
    <col min="2567" max="2567" width="7.7109375" style="6" bestFit="1" customWidth="1"/>
    <col min="2568" max="2568" width="9.28515625" style="6" bestFit="1" customWidth="1"/>
    <col min="2569" max="2569" width="13.7109375" style="6" bestFit="1" customWidth="1"/>
    <col min="2570" max="2572" width="9" style="6" customWidth="1"/>
    <col min="2573" max="2573" width="10" style="6" customWidth="1"/>
    <col min="2574" max="2574" width="5.5703125" style="6" customWidth="1"/>
    <col min="2575" max="2575" width="15" style="6" customWidth="1"/>
    <col min="2576" max="2576" width="11.42578125" style="6" customWidth="1"/>
    <col min="2577" max="2577" width="12.85546875" style="6" bestFit="1" customWidth="1"/>
    <col min="2578" max="2578" width="14" style="6" bestFit="1" customWidth="1"/>
    <col min="2579" max="2579" width="22.5703125" style="6" bestFit="1" customWidth="1"/>
    <col min="2580" max="2580" width="14.140625" style="6" bestFit="1" customWidth="1"/>
    <col min="2581" max="2581" width="14.140625" style="6" customWidth="1"/>
    <col min="2582" max="2584" width="0" style="6" hidden="1" customWidth="1"/>
    <col min="2585" max="2816" width="8.85546875" style="6"/>
    <col min="2817" max="2817" width="8.140625" style="6" customWidth="1"/>
    <col min="2818" max="2818" width="54.140625" style="6" customWidth="1"/>
    <col min="2819" max="2819" width="13.5703125" style="6" bestFit="1" customWidth="1"/>
    <col min="2820" max="2820" width="10.85546875" style="6" bestFit="1" customWidth="1"/>
    <col min="2821" max="2821" width="10.28515625" style="6" bestFit="1" customWidth="1"/>
    <col min="2822" max="2822" width="11" style="6" bestFit="1" customWidth="1"/>
    <col min="2823" max="2823" width="7.7109375" style="6" bestFit="1" customWidth="1"/>
    <col min="2824" max="2824" width="9.28515625" style="6" bestFit="1" customWidth="1"/>
    <col min="2825" max="2825" width="13.7109375" style="6" bestFit="1" customWidth="1"/>
    <col min="2826" max="2828" width="9" style="6" customWidth="1"/>
    <col min="2829" max="2829" width="10" style="6" customWidth="1"/>
    <col min="2830" max="2830" width="5.5703125" style="6" customWidth="1"/>
    <col min="2831" max="2831" width="15" style="6" customWidth="1"/>
    <col min="2832" max="2832" width="11.42578125" style="6" customWidth="1"/>
    <col min="2833" max="2833" width="12.85546875" style="6" bestFit="1" customWidth="1"/>
    <col min="2834" max="2834" width="14" style="6" bestFit="1" customWidth="1"/>
    <col min="2835" max="2835" width="22.5703125" style="6" bestFit="1" customWidth="1"/>
    <col min="2836" max="2836" width="14.140625" style="6" bestFit="1" customWidth="1"/>
    <col min="2837" max="2837" width="14.140625" style="6" customWidth="1"/>
    <col min="2838" max="2840" width="0" style="6" hidden="1" customWidth="1"/>
    <col min="2841" max="3072" width="8.85546875" style="6"/>
    <col min="3073" max="3073" width="8.140625" style="6" customWidth="1"/>
    <col min="3074" max="3074" width="54.140625" style="6" customWidth="1"/>
    <col min="3075" max="3075" width="13.5703125" style="6" bestFit="1" customWidth="1"/>
    <col min="3076" max="3076" width="10.85546875" style="6" bestFit="1" customWidth="1"/>
    <col min="3077" max="3077" width="10.28515625" style="6" bestFit="1" customWidth="1"/>
    <col min="3078" max="3078" width="11" style="6" bestFit="1" customWidth="1"/>
    <col min="3079" max="3079" width="7.7109375" style="6" bestFit="1" customWidth="1"/>
    <col min="3080" max="3080" width="9.28515625" style="6" bestFit="1" customWidth="1"/>
    <col min="3081" max="3081" width="13.7109375" style="6" bestFit="1" customWidth="1"/>
    <col min="3082" max="3084" width="9" style="6" customWidth="1"/>
    <col min="3085" max="3085" width="10" style="6" customWidth="1"/>
    <col min="3086" max="3086" width="5.5703125" style="6" customWidth="1"/>
    <col min="3087" max="3087" width="15" style="6" customWidth="1"/>
    <col min="3088" max="3088" width="11.42578125" style="6" customWidth="1"/>
    <col min="3089" max="3089" width="12.85546875" style="6" bestFit="1" customWidth="1"/>
    <col min="3090" max="3090" width="14" style="6" bestFit="1" customWidth="1"/>
    <col min="3091" max="3091" width="22.5703125" style="6" bestFit="1" customWidth="1"/>
    <col min="3092" max="3092" width="14.140625" style="6" bestFit="1" customWidth="1"/>
    <col min="3093" max="3093" width="14.140625" style="6" customWidth="1"/>
    <col min="3094" max="3096" width="0" style="6" hidden="1" customWidth="1"/>
    <col min="3097" max="3328" width="8.85546875" style="6"/>
    <col min="3329" max="3329" width="8.140625" style="6" customWidth="1"/>
    <col min="3330" max="3330" width="54.140625" style="6" customWidth="1"/>
    <col min="3331" max="3331" width="13.5703125" style="6" bestFit="1" customWidth="1"/>
    <col min="3332" max="3332" width="10.85546875" style="6" bestFit="1" customWidth="1"/>
    <col min="3333" max="3333" width="10.28515625" style="6" bestFit="1" customWidth="1"/>
    <col min="3334" max="3334" width="11" style="6" bestFit="1" customWidth="1"/>
    <col min="3335" max="3335" width="7.7109375" style="6" bestFit="1" customWidth="1"/>
    <col min="3336" max="3336" width="9.28515625" style="6" bestFit="1" customWidth="1"/>
    <col min="3337" max="3337" width="13.7109375" style="6" bestFit="1" customWidth="1"/>
    <col min="3338" max="3340" width="9" style="6" customWidth="1"/>
    <col min="3341" max="3341" width="10" style="6" customWidth="1"/>
    <col min="3342" max="3342" width="5.5703125" style="6" customWidth="1"/>
    <col min="3343" max="3343" width="15" style="6" customWidth="1"/>
    <col min="3344" max="3344" width="11.42578125" style="6" customWidth="1"/>
    <col min="3345" max="3345" width="12.85546875" style="6" bestFit="1" customWidth="1"/>
    <col min="3346" max="3346" width="14" style="6" bestFit="1" customWidth="1"/>
    <col min="3347" max="3347" width="22.5703125" style="6" bestFit="1" customWidth="1"/>
    <col min="3348" max="3348" width="14.140625" style="6" bestFit="1" customWidth="1"/>
    <col min="3349" max="3349" width="14.140625" style="6" customWidth="1"/>
    <col min="3350" max="3352" width="0" style="6" hidden="1" customWidth="1"/>
    <col min="3353" max="3584" width="8.85546875" style="6"/>
    <col min="3585" max="3585" width="8.140625" style="6" customWidth="1"/>
    <col min="3586" max="3586" width="54.140625" style="6" customWidth="1"/>
    <col min="3587" max="3587" width="13.5703125" style="6" bestFit="1" customWidth="1"/>
    <col min="3588" max="3588" width="10.85546875" style="6" bestFit="1" customWidth="1"/>
    <col min="3589" max="3589" width="10.28515625" style="6" bestFit="1" customWidth="1"/>
    <col min="3590" max="3590" width="11" style="6" bestFit="1" customWidth="1"/>
    <col min="3591" max="3591" width="7.7109375" style="6" bestFit="1" customWidth="1"/>
    <col min="3592" max="3592" width="9.28515625" style="6" bestFit="1" customWidth="1"/>
    <col min="3593" max="3593" width="13.7109375" style="6" bestFit="1" customWidth="1"/>
    <col min="3594" max="3596" width="9" style="6" customWidth="1"/>
    <col min="3597" max="3597" width="10" style="6" customWidth="1"/>
    <col min="3598" max="3598" width="5.5703125" style="6" customWidth="1"/>
    <col min="3599" max="3599" width="15" style="6" customWidth="1"/>
    <col min="3600" max="3600" width="11.42578125" style="6" customWidth="1"/>
    <col min="3601" max="3601" width="12.85546875" style="6" bestFit="1" customWidth="1"/>
    <col min="3602" max="3602" width="14" style="6" bestFit="1" customWidth="1"/>
    <col min="3603" max="3603" width="22.5703125" style="6" bestFit="1" customWidth="1"/>
    <col min="3604" max="3604" width="14.140625" style="6" bestFit="1" customWidth="1"/>
    <col min="3605" max="3605" width="14.140625" style="6" customWidth="1"/>
    <col min="3606" max="3608" width="0" style="6" hidden="1" customWidth="1"/>
    <col min="3609" max="3840" width="8.85546875" style="6"/>
    <col min="3841" max="3841" width="8.140625" style="6" customWidth="1"/>
    <col min="3842" max="3842" width="54.140625" style="6" customWidth="1"/>
    <col min="3843" max="3843" width="13.5703125" style="6" bestFit="1" customWidth="1"/>
    <col min="3844" max="3844" width="10.85546875" style="6" bestFit="1" customWidth="1"/>
    <col min="3845" max="3845" width="10.28515625" style="6" bestFit="1" customWidth="1"/>
    <col min="3846" max="3846" width="11" style="6" bestFit="1" customWidth="1"/>
    <col min="3847" max="3847" width="7.7109375" style="6" bestFit="1" customWidth="1"/>
    <col min="3848" max="3848" width="9.28515625" style="6" bestFit="1" customWidth="1"/>
    <col min="3849" max="3849" width="13.7109375" style="6" bestFit="1" customWidth="1"/>
    <col min="3850" max="3852" width="9" style="6" customWidth="1"/>
    <col min="3853" max="3853" width="10" style="6" customWidth="1"/>
    <col min="3854" max="3854" width="5.5703125" style="6" customWidth="1"/>
    <col min="3855" max="3855" width="15" style="6" customWidth="1"/>
    <col min="3856" max="3856" width="11.42578125" style="6" customWidth="1"/>
    <col min="3857" max="3857" width="12.85546875" style="6" bestFit="1" customWidth="1"/>
    <col min="3858" max="3858" width="14" style="6" bestFit="1" customWidth="1"/>
    <col min="3859" max="3859" width="22.5703125" style="6" bestFit="1" customWidth="1"/>
    <col min="3860" max="3860" width="14.140625" style="6" bestFit="1" customWidth="1"/>
    <col min="3861" max="3861" width="14.140625" style="6" customWidth="1"/>
    <col min="3862" max="3864" width="0" style="6" hidden="1" customWidth="1"/>
    <col min="3865" max="4096" width="8.85546875" style="6"/>
    <col min="4097" max="4097" width="8.140625" style="6" customWidth="1"/>
    <col min="4098" max="4098" width="54.140625" style="6" customWidth="1"/>
    <col min="4099" max="4099" width="13.5703125" style="6" bestFit="1" customWidth="1"/>
    <col min="4100" max="4100" width="10.85546875" style="6" bestFit="1" customWidth="1"/>
    <col min="4101" max="4101" width="10.28515625" style="6" bestFit="1" customWidth="1"/>
    <col min="4102" max="4102" width="11" style="6" bestFit="1" customWidth="1"/>
    <col min="4103" max="4103" width="7.7109375" style="6" bestFit="1" customWidth="1"/>
    <col min="4104" max="4104" width="9.28515625" style="6" bestFit="1" customWidth="1"/>
    <col min="4105" max="4105" width="13.7109375" style="6" bestFit="1" customWidth="1"/>
    <col min="4106" max="4108" width="9" style="6" customWidth="1"/>
    <col min="4109" max="4109" width="10" style="6" customWidth="1"/>
    <col min="4110" max="4110" width="5.5703125" style="6" customWidth="1"/>
    <col min="4111" max="4111" width="15" style="6" customWidth="1"/>
    <col min="4112" max="4112" width="11.42578125" style="6" customWidth="1"/>
    <col min="4113" max="4113" width="12.85546875" style="6" bestFit="1" customWidth="1"/>
    <col min="4114" max="4114" width="14" style="6" bestFit="1" customWidth="1"/>
    <col min="4115" max="4115" width="22.5703125" style="6" bestFit="1" customWidth="1"/>
    <col min="4116" max="4116" width="14.140625" style="6" bestFit="1" customWidth="1"/>
    <col min="4117" max="4117" width="14.140625" style="6" customWidth="1"/>
    <col min="4118" max="4120" width="0" style="6" hidden="1" customWidth="1"/>
    <col min="4121" max="4352" width="8.85546875" style="6"/>
    <col min="4353" max="4353" width="8.140625" style="6" customWidth="1"/>
    <col min="4354" max="4354" width="54.140625" style="6" customWidth="1"/>
    <col min="4355" max="4355" width="13.5703125" style="6" bestFit="1" customWidth="1"/>
    <col min="4356" max="4356" width="10.85546875" style="6" bestFit="1" customWidth="1"/>
    <col min="4357" max="4357" width="10.28515625" style="6" bestFit="1" customWidth="1"/>
    <col min="4358" max="4358" width="11" style="6" bestFit="1" customWidth="1"/>
    <col min="4359" max="4359" width="7.7109375" style="6" bestFit="1" customWidth="1"/>
    <col min="4360" max="4360" width="9.28515625" style="6" bestFit="1" customWidth="1"/>
    <col min="4361" max="4361" width="13.7109375" style="6" bestFit="1" customWidth="1"/>
    <col min="4362" max="4364" width="9" style="6" customWidth="1"/>
    <col min="4365" max="4365" width="10" style="6" customWidth="1"/>
    <col min="4366" max="4366" width="5.5703125" style="6" customWidth="1"/>
    <col min="4367" max="4367" width="15" style="6" customWidth="1"/>
    <col min="4368" max="4368" width="11.42578125" style="6" customWidth="1"/>
    <col min="4369" max="4369" width="12.85546875" style="6" bestFit="1" customWidth="1"/>
    <col min="4370" max="4370" width="14" style="6" bestFit="1" customWidth="1"/>
    <col min="4371" max="4371" width="22.5703125" style="6" bestFit="1" customWidth="1"/>
    <col min="4372" max="4372" width="14.140625" style="6" bestFit="1" customWidth="1"/>
    <col min="4373" max="4373" width="14.140625" style="6" customWidth="1"/>
    <col min="4374" max="4376" width="0" style="6" hidden="1" customWidth="1"/>
    <col min="4377" max="4608" width="8.85546875" style="6"/>
    <col min="4609" max="4609" width="8.140625" style="6" customWidth="1"/>
    <col min="4610" max="4610" width="54.140625" style="6" customWidth="1"/>
    <col min="4611" max="4611" width="13.5703125" style="6" bestFit="1" customWidth="1"/>
    <col min="4612" max="4612" width="10.85546875" style="6" bestFit="1" customWidth="1"/>
    <col min="4613" max="4613" width="10.28515625" style="6" bestFit="1" customWidth="1"/>
    <col min="4614" max="4614" width="11" style="6" bestFit="1" customWidth="1"/>
    <col min="4615" max="4615" width="7.7109375" style="6" bestFit="1" customWidth="1"/>
    <col min="4616" max="4616" width="9.28515625" style="6" bestFit="1" customWidth="1"/>
    <col min="4617" max="4617" width="13.7109375" style="6" bestFit="1" customWidth="1"/>
    <col min="4618" max="4620" width="9" style="6" customWidth="1"/>
    <col min="4621" max="4621" width="10" style="6" customWidth="1"/>
    <col min="4622" max="4622" width="5.5703125" style="6" customWidth="1"/>
    <col min="4623" max="4623" width="15" style="6" customWidth="1"/>
    <col min="4624" max="4624" width="11.42578125" style="6" customWidth="1"/>
    <col min="4625" max="4625" width="12.85546875" style="6" bestFit="1" customWidth="1"/>
    <col min="4626" max="4626" width="14" style="6" bestFit="1" customWidth="1"/>
    <col min="4627" max="4627" width="22.5703125" style="6" bestFit="1" customWidth="1"/>
    <col min="4628" max="4628" width="14.140625" style="6" bestFit="1" customWidth="1"/>
    <col min="4629" max="4629" width="14.140625" style="6" customWidth="1"/>
    <col min="4630" max="4632" width="0" style="6" hidden="1" customWidth="1"/>
    <col min="4633" max="4864" width="8.85546875" style="6"/>
    <col min="4865" max="4865" width="8.140625" style="6" customWidth="1"/>
    <col min="4866" max="4866" width="54.140625" style="6" customWidth="1"/>
    <col min="4867" max="4867" width="13.5703125" style="6" bestFit="1" customWidth="1"/>
    <col min="4868" max="4868" width="10.85546875" style="6" bestFit="1" customWidth="1"/>
    <col min="4869" max="4869" width="10.28515625" style="6" bestFit="1" customWidth="1"/>
    <col min="4870" max="4870" width="11" style="6" bestFit="1" customWidth="1"/>
    <col min="4871" max="4871" width="7.7109375" style="6" bestFit="1" customWidth="1"/>
    <col min="4872" max="4872" width="9.28515625" style="6" bestFit="1" customWidth="1"/>
    <col min="4873" max="4873" width="13.7109375" style="6" bestFit="1" customWidth="1"/>
    <col min="4874" max="4876" width="9" style="6" customWidth="1"/>
    <col min="4877" max="4877" width="10" style="6" customWidth="1"/>
    <col min="4878" max="4878" width="5.5703125" style="6" customWidth="1"/>
    <col min="4879" max="4879" width="15" style="6" customWidth="1"/>
    <col min="4880" max="4880" width="11.42578125" style="6" customWidth="1"/>
    <col min="4881" max="4881" width="12.85546875" style="6" bestFit="1" customWidth="1"/>
    <col min="4882" max="4882" width="14" style="6" bestFit="1" customWidth="1"/>
    <col min="4883" max="4883" width="22.5703125" style="6" bestFit="1" customWidth="1"/>
    <col min="4884" max="4884" width="14.140625" style="6" bestFit="1" customWidth="1"/>
    <col min="4885" max="4885" width="14.140625" style="6" customWidth="1"/>
    <col min="4886" max="4888" width="0" style="6" hidden="1" customWidth="1"/>
    <col min="4889" max="5120" width="8.85546875" style="6"/>
    <col min="5121" max="5121" width="8.140625" style="6" customWidth="1"/>
    <col min="5122" max="5122" width="54.140625" style="6" customWidth="1"/>
    <col min="5123" max="5123" width="13.5703125" style="6" bestFit="1" customWidth="1"/>
    <col min="5124" max="5124" width="10.85546875" style="6" bestFit="1" customWidth="1"/>
    <col min="5125" max="5125" width="10.28515625" style="6" bestFit="1" customWidth="1"/>
    <col min="5126" max="5126" width="11" style="6" bestFit="1" customWidth="1"/>
    <col min="5127" max="5127" width="7.7109375" style="6" bestFit="1" customWidth="1"/>
    <col min="5128" max="5128" width="9.28515625" style="6" bestFit="1" customWidth="1"/>
    <col min="5129" max="5129" width="13.7109375" style="6" bestFit="1" customWidth="1"/>
    <col min="5130" max="5132" width="9" style="6" customWidth="1"/>
    <col min="5133" max="5133" width="10" style="6" customWidth="1"/>
    <col min="5134" max="5134" width="5.5703125" style="6" customWidth="1"/>
    <col min="5135" max="5135" width="15" style="6" customWidth="1"/>
    <col min="5136" max="5136" width="11.42578125" style="6" customWidth="1"/>
    <col min="5137" max="5137" width="12.85546875" style="6" bestFit="1" customWidth="1"/>
    <col min="5138" max="5138" width="14" style="6" bestFit="1" customWidth="1"/>
    <col min="5139" max="5139" width="22.5703125" style="6" bestFit="1" customWidth="1"/>
    <col min="5140" max="5140" width="14.140625" style="6" bestFit="1" customWidth="1"/>
    <col min="5141" max="5141" width="14.140625" style="6" customWidth="1"/>
    <col min="5142" max="5144" width="0" style="6" hidden="1" customWidth="1"/>
    <col min="5145" max="5376" width="8.85546875" style="6"/>
    <col min="5377" max="5377" width="8.140625" style="6" customWidth="1"/>
    <col min="5378" max="5378" width="54.140625" style="6" customWidth="1"/>
    <col min="5379" max="5379" width="13.5703125" style="6" bestFit="1" customWidth="1"/>
    <col min="5380" max="5380" width="10.85546875" style="6" bestFit="1" customWidth="1"/>
    <col min="5381" max="5381" width="10.28515625" style="6" bestFit="1" customWidth="1"/>
    <col min="5382" max="5382" width="11" style="6" bestFit="1" customWidth="1"/>
    <col min="5383" max="5383" width="7.7109375" style="6" bestFit="1" customWidth="1"/>
    <col min="5384" max="5384" width="9.28515625" style="6" bestFit="1" customWidth="1"/>
    <col min="5385" max="5385" width="13.7109375" style="6" bestFit="1" customWidth="1"/>
    <col min="5386" max="5388" width="9" style="6" customWidth="1"/>
    <col min="5389" max="5389" width="10" style="6" customWidth="1"/>
    <col min="5390" max="5390" width="5.5703125" style="6" customWidth="1"/>
    <col min="5391" max="5391" width="15" style="6" customWidth="1"/>
    <col min="5392" max="5392" width="11.42578125" style="6" customWidth="1"/>
    <col min="5393" max="5393" width="12.85546875" style="6" bestFit="1" customWidth="1"/>
    <col min="5394" max="5394" width="14" style="6" bestFit="1" customWidth="1"/>
    <col min="5395" max="5395" width="22.5703125" style="6" bestFit="1" customWidth="1"/>
    <col min="5396" max="5396" width="14.140625" style="6" bestFit="1" customWidth="1"/>
    <col min="5397" max="5397" width="14.140625" style="6" customWidth="1"/>
    <col min="5398" max="5400" width="0" style="6" hidden="1" customWidth="1"/>
    <col min="5401" max="5632" width="8.85546875" style="6"/>
    <col min="5633" max="5633" width="8.140625" style="6" customWidth="1"/>
    <col min="5634" max="5634" width="54.140625" style="6" customWidth="1"/>
    <col min="5635" max="5635" width="13.5703125" style="6" bestFit="1" customWidth="1"/>
    <col min="5636" max="5636" width="10.85546875" style="6" bestFit="1" customWidth="1"/>
    <col min="5637" max="5637" width="10.28515625" style="6" bestFit="1" customWidth="1"/>
    <col min="5638" max="5638" width="11" style="6" bestFit="1" customWidth="1"/>
    <col min="5639" max="5639" width="7.7109375" style="6" bestFit="1" customWidth="1"/>
    <col min="5640" max="5640" width="9.28515625" style="6" bestFit="1" customWidth="1"/>
    <col min="5641" max="5641" width="13.7109375" style="6" bestFit="1" customWidth="1"/>
    <col min="5642" max="5644" width="9" style="6" customWidth="1"/>
    <col min="5645" max="5645" width="10" style="6" customWidth="1"/>
    <col min="5646" max="5646" width="5.5703125" style="6" customWidth="1"/>
    <col min="5647" max="5647" width="15" style="6" customWidth="1"/>
    <col min="5648" max="5648" width="11.42578125" style="6" customWidth="1"/>
    <col min="5649" max="5649" width="12.85546875" style="6" bestFit="1" customWidth="1"/>
    <col min="5650" max="5650" width="14" style="6" bestFit="1" customWidth="1"/>
    <col min="5651" max="5651" width="22.5703125" style="6" bestFit="1" customWidth="1"/>
    <col min="5652" max="5652" width="14.140625" style="6" bestFit="1" customWidth="1"/>
    <col min="5653" max="5653" width="14.140625" style="6" customWidth="1"/>
    <col min="5654" max="5656" width="0" style="6" hidden="1" customWidth="1"/>
    <col min="5657" max="5888" width="8.85546875" style="6"/>
    <col min="5889" max="5889" width="8.140625" style="6" customWidth="1"/>
    <col min="5890" max="5890" width="54.140625" style="6" customWidth="1"/>
    <col min="5891" max="5891" width="13.5703125" style="6" bestFit="1" customWidth="1"/>
    <col min="5892" max="5892" width="10.85546875" style="6" bestFit="1" customWidth="1"/>
    <col min="5893" max="5893" width="10.28515625" style="6" bestFit="1" customWidth="1"/>
    <col min="5894" max="5894" width="11" style="6" bestFit="1" customWidth="1"/>
    <col min="5895" max="5895" width="7.7109375" style="6" bestFit="1" customWidth="1"/>
    <col min="5896" max="5896" width="9.28515625" style="6" bestFit="1" customWidth="1"/>
    <col min="5897" max="5897" width="13.7109375" style="6" bestFit="1" customWidth="1"/>
    <col min="5898" max="5900" width="9" style="6" customWidth="1"/>
    <col min="5901" max="5901" width="10" style="6" customWidth="1"/>
    <col min="5902" max="5902" width="5.5703125" style="6" customWidth="1"/>
    <col min="5903" max="5903" width="15" style="6" customWidth="1"/>
    <col min="5904" max="5904" width="11.42578125" style="6" customWidth="1"/>
    <col min="5905" max="5905" width="12.85546875" style="6" bestFit="1" customWidth="1"/>
    <col min="5906" max="5906" width="14" style="6" bestFit="1" customWidth="1"/>
    <col min="5907" max="5907" width="22.5703125" style="6" bestFit="1" customWidth="1"/>
    <col min="5908" max="5908" width="14.140625" style="6" bestFit="1" customWidth="1"/>
    <col min="5909" max="5909" width="14.140625" style="6" customWidth="1"/>
    <col min="5910" max="5912" width="0" style="6" hidden="1" customWidth="1"/>
    <col min="5913" max="6144" width="8.85546875" style="6"/>
    <col min="6145" max="6145" width="8.140625" style="6" customWidth="1"/>
    <col min="6146" max="6146" width="54.140625" style="6" customWidth="1"/>
    <col min="6147" max="6147" width="13.5703125" style="6" bestFit="1" customWidth="1"/>
    <col min="6148" max="6148" width="10.85546875" style="6" bestFit="1" customWidth="1"/>
    <col min="6149" max="6149" width="10.28515625" style="6" bestFit="1" customWidth="1"/>
    <col min="6150" max="6150" width="11" style="6" bestFit="1" customWidth="1"/>
    <col min="6151" max="6151" width="7.7109375" style="6" bestFit="1" customWidth="1"/>
    <col min="6152" max="6152" width="9.28515625" style="6" bestFit="1" customWidth="1"/>
    <col min="6153" max="6153" width="13.7109375" style="6" bestFit="1" customWidth="1"/>
    <col min="6154" max="6156" width="9" style="6" customWidth="1"/>
    <col min="6157" max="6157" width="10" style="6" customWidth="1"/>
    <col min="6158" max="6158" width="5.5703125" style="6" customWidth="1"/>
    <col min="6159" max="6159" width="15" style="6" customWidth="1"/>
    <col min="6160" max="6160" width="11.42578125" style="6" customWidth="1"/>
    <col min="6161" max="6161" width="12.85546875" style="6" bestFit="1" customWidth="1"/>
    <col min="6162" max="6162" width="14" style="6" bestFit="1" customWidth="1"/>
    <col min="6163" max="6163" width="22.5703125" style="6" bestFit="1" customWidth="1"/>
    <col min="6164" max="6164" width="14.140625" style="6" bestFit="1" customWidth="1"/>
    <col min="6165" max="6165" width="14.140625" style="6" customWidth="1"/>
    <col min="6166" max="6168" width="0" style="6" hidden="1" customWidth="1"/>
    <col min="6169" max="6400" width="8.85546875" style="6"/>
    <col min="6401" max="6401" width="8.140625" style="6" customWidth="1"/>
    <col min="6402" max="6402" width="54.140625" style="6" customWidth="1"/>
    <col min="6403" max="6403" width="13.5703125" style="6" bestFit="1" customWidth="1"/>
    <col min="6404" max="6404" width="10.85546875" style="6" bestFit="1" customWidth="1"/>
    <col min="6405" max="6405" width="10.28515625" style="6" bestFit="1" customWidth="1"/>
    <col min="6406" max="6406" width="11" style="6" bestFit="1" customWidth="1"/>
    <col min="6407" max="6407" width="7.7109375" style="6" bestFit="1" customWidth="1"/>
    <col min="6408" max="6408" width="9.28515625" style="6" bestFit="1" customWidth="1"/>
    <col min="6409" max="6409" width="13.7109375" style="6" bestFit="1" customWidth="1"/>
    <col min="6410" max="6412" width="9" style="6" customWidth="1"/>
    <col min="6413" max="6413" width="10" style="6" customWidth="1"/>
    <col min="6414" max="6414" width="5.5703125" style="6" customWidth="1"/>
    <col min="6415" max="6415" width="15" style="6" customWidth="1"/>
    <col min="6416" max="6416" width="11.42578125" style="6" customWidth="1"/>
    <col min="6417" max="6417" width="12.85546875" style="6" bestFit="1" customWidth="1"/>
    <col min="6418" max="6418" width="14" style="6" bestFit="1" customWidth="1"/>
    <col min="6419" max="6419" width="22.5703125" style="6" bestFit="1" customWidth="1"/>
    <col min="6420" max="6420" width="14.140625" style="6" bestFit="1" customWidth="1"/>
    <col min="6421" max="6421" width="14.140625" style="6" customWidth="1"/>
    <col min="6422" max="6424" width="0" style="6" hidden="1" customWidth="1"/>
    <col min="6425" max="6656" width="8.85546875" style="6"/>
    <col min="6657" max="6657" width="8.140625" style="6" customWidth="1"/>
    <col min="6658" max="6658" width="54.140625" style="6" customWidth="1"/>
    <col min="6659" max="6659" width="13.5703125" style="6" bestFit="1" customWidth="1"/>
    <col min="6660" max="6660" width="10.85546875" style="6" bestFit="1" customWidth="1"/>
    <col min="6661" max="6661" width="10.28515625" style="6" bestFit="1" customWidth="1"/>
    <col min="6662" max="6662" width="11" style="6" bestFit="1" customWidth="1"/>
    <col min="6663" max="6663" width="7.7109375" style="6" bestFit="1" customWidth="1"/>
    <col min="6664" max="6664" width="9.28515625" style="6" bestFit="1" customWidth="1"/>
    <col min="6665" max="6665" width="13.7109375" style="6" bestFit="1" customWidth="1"/>
    <col min="6666" max="6668" width="9" style="6" customWidth="1"/>
    <col min="6669" max="6669" width="10" style="6" customWidth="1"/>
    <col min="6670" max="6670" width="5.5703125" style="6" customWidth="1"/>
    <col min="6671" max="6671" width="15" style="6" customWidth="1"/>
    <col min="6672" max="6672" width="11.42578125" style="6" customWidth="1"/>
    <col min="6673" max="6673" width="12.85546875" style="6" bestFit="1" customWidth="1"/>
    <col min="6674" max="6674" width="14" style="6" bestFit="1" customWidth="1"/>
    <col min="6675" max="6675" width="22.5703125" style="6" bestFit="1" customWidth="1"/>
    <col min="6676" max="6676" width="14.140625" style="6" bestFit="1" customWidth="1"/>
    <col min="6677" max="6677" width="14.140625" style="6" customWidth="1"/>
    <col min="6678" max="6680" width="0" style="6" hidden="1" customWidth="1"/>
    <col min="6681" max="6912" width="8.85546875" style="6"/>
    <col min="6913" max="6913" width="8.140625" style="6" customWidth="1"/>
    <col min="6914" max="6914" width="54.140625" style="6" customWidth="1"/>
    <col min="6915" max="6915" width="13.5703125" style="6" bestFit="1" customWidth="1"/>
    <col min="6916" max="6916" width="10.85546875" style="6" bestFit="1" customWidth="1"/>
    <col min="6917" max="6917" width="10.28515625" style="6" bestFit="1" customWidth="1"/>
    <col min="6918" max="6918" width="11" style="6" bestFit="1" customWidth="1"/>
    <col min="6919" max="6919" width="7.7109375" style="6" bestFit="1" customWidth="1"/>
    <col min="6920" max="6920" width="9.28515625" style="6" bestFit="1" customWidth="1"/>
    <col min="6921" max="6921" width="13.7109375" style="6" bestFit="1" customWidth="1"/>
    <col min="6922" max="6924" width="9" style="6" customWidth="1"/>
    <col min="6925" max="6925" width="10" style="6" customWidth="1"/>
    <col min="6926" max="6926" width="5.5703125" style="6" customWidth="1"/>
    <col min="6927" max="6927" width="15" style="6" customWidth="1"/>
    <col min="6928" max="6928" width="11.42578125" style="6" customWidth="1"/>
    <col min="6929" max="6929" width="12.85546875" style="6" bestFit="1" customWidth="1"/>
    <col min="6930" max="6930" width="14" style="6" bestFit="1" customWidth="1"/>
    <col min="6931" max="6931" width="22.5703125" style="6" bestFit="1" customWidth="1"/>
    <col min="6932" max="6932" width="14.140625" style="6" bestFit="1" customWidth="1"/>
    <col min="6933" max="6933" width="14.140625" style="6" customWidth="1"/>
    <col min="6934" max="6936" width="0" style="6" hidden="1" customWidth="1"/>
    <col min="6937" max="7168" width="8.85546875" style="6"/>
    <col min="7169" max="7169" width="8.140625" style="6" customWidth="1"/>
    <col min="7170" max="7170" width="54.140625" style="6" customWidth="1"/>
    <col min="7171" max="7171" width="13.5703125" style="6" bestFit="1" customWidth="1"/>
    <col min="7172" max="7172" width="10.85546875" style="6" bestFit="1" customWidth="1"/>
    <col min="7173" max="7173" width="10.28515625" style="6" bestFit="1" customWidth="1"/>
    <col min="7174" max="7174" width="11" style="6" bestFit="1" customWidth="1"/>
    <col min="7175" max="7175" width="7.7109375" style="6" bestFit="1" customWidth="1"/>
    <col min="7176" max="7176" width="9.28515625" style="6" bestFit="1" customWidth="1"/>
    <col min="7177" max="7177" width="13.7109375" style="6" bestFit="1" customWidth="1"/>
    <col min="7178" max="7180" width="9" style="6" customWidth="1"/>
    <col min="7181" max="7181" width="10" style="6" customWidth="1"/>
    <col min="7182" max="7182" width="5.5703125" style="6" customWidth="1"/>
    <col min="7183" max="7183" width="15" style="6" customWidth="1"/>
    <col min="7184" max="7184" width="11.42578125" style="6" customWidth="1"/>
    <col min="7185" max="7185" width="12.85546875" style="6" bestFit="1" customWidth="1"/>
    <col min="7186" max="7186" width="14" style="6" bestFit="1" customWidth="1"/>
    <col min="7187" max="7187" width="22.5703125" style="6" bestFit="1" customWidth="1"/>
    <col min="7188" max="7188" width="14.140625" style="6" bestFit="1" customWidth="1"/>
    <col min="7189" max="7189" width="14.140625" style="6" customWidth="1"/>
    <col min="7190" max="7192" width="0" style="6" hidden="1" customWidth="1"/>
    <col min="7193" max="7424" width="8.85546875" style="6"/>
    <col min="7425" max="7425" width="8.140625" style="6" customWidth="1"/>
    <col min="7426" max="7426" width="54.140625" style="6" customWidth="1"/>
    <col min="7427" max="7427" width="13.5703125" style="6" bestFit="1" customWidth="1"/>
    <col min="7428" max="7428" width="10.85546875" style="6" bestFit="1" customWidth="1"/>
    <col min="7429" max="7429" width="10.28515625" style="6" bestFit="1" customWidth="1"/>
    <col min="7430" max="7430" width="11" style="6" bestFit="1" customWidth="1"/>
    <col min="7431" max="7431" width="7.7109375" style="6" bestFit="1" customWidth="1"/>
    <col min="7432" max="7432" width="9.28515625" style="6" bestFit="1" customWidth="1"/>
    <col min="7433" max="7433" width="13.7109375" style="6" bestFit="1" customWidth="1"/>
    <col min="7434" max="7436" width="9" style="6" customWidth="1"/>
    <col min="7437" max="7437" width="10" style="6" customWidth="1"/>
    <col min="7438" max="7438" width="5.5703125" style="6" customWidth="1"/>
    <col min="7439" max="7439" width="15" style="6" customWidth="1"/>
    <col min="7440" max="7440" width="11.42578125" style="6" customWidth="1"/>
    <col min="7441" max="7441" width="12.85546875" style="6" bestFit="1" customWidth="1"/>
    <col min="7442" max="7442" width="14" style="6" bestFit="1" customWidth="1"/>
    <col min="7443" max="7443" width="22.5703125" style="6" bestFit="1" customWidth="1"/>
    <col min="7444" max="7444" width="14.140625" style="6" bestFit="1" customWidth="1"/>
    <col min="7445" max="7445" width="14.140625" style="6" customWidth="1"/>
    <col min="7446" max="7448" width="0" style="6" hidden="1" customWidth="1"/>
    <col min="7449" max="7680" width="8.85546875" style="6"/>
    <col min="7681" max="7681" width="8.140625" style="6" customWidth="1"/>
    <col min="7682" max="7682" width="54.140625" style="6" customWidth="1"/>
    <col min="7683" max="7683" width="13.5703125" style="6" bestFit="1" customWidth="1"/>
    <col min="7684" max="7684" width="10.85546875" style="6" bestFit="1" customWidth="1"/>
    <col min="7685" max="7685" width="10.28515625" style="6" bestFit="1" customWidth="1"/>
    <col min="7686" max="7686" width="11" style="6" bestFit="1" customWidth="1"/>
    <col min="7687" max="7687" width="7.7109375" style="6" bestFit="1" customWidth="1"/>
    <col min="7688" max="7688" width="9.28515625" style="6" bestFit="1" customWidth="1"/>
    <col min="7689" max="7689" width="13.7109375" style="6" bestFit="1" customWidth="1"/>
    <col min="7690" max="7692" width="9" style="6" customWidth="1"/>
    <col min="7693" max="7693" width="10" style="6" customWidth="1"/>
    <col min="7694" max="7694" width="5.5703125" style="6" customWidth="1"/>
    <col min="7695" max="7695" width="15" style="6" customWidth="1"/>
    <col min="7696" max="7696" width="11.42578125" style="6" customWidth="1"/>
    <col min="7697" max="7697" width="12.85546875" style="6" bestFit="1" customWidth="1"/>
    <col min="7698" max="7698" width="14" style="6" bestFit="1" customWidth="1"/>
    <col min="7699" max="7699" width="22.5703125" style="6" bestFit="1" customWidth="1"/>
    <col min="7700" max="7700" width="14.140625" style="6" bestFit="1" customWidth="1"/>
    <col min="7701" max="7701" width="14.140625" style="6" customWidth="1"/>
    <col min="7702" max="7704" width="0" style="6" hidden="1" customWidth="1"/>
    <col min="7705" max="7936" width="8.85546875" style="6"/>
    <col min="7937" max="7937" width="8.140625" style="6" customWidth="1"/>
    <col min="7938" max="7938" width="54.140625" style="6" customWidth="1"/>
    <col min="7939" max="7939" width="13.5703125" style="6" bestFit="1" customWidth="1"/>
    <col min="7940" max="7940" width="10.85546875" style="6" bestFit="1" customWidth="1"/>
    <col min="7941" max="7941" width="10.28515625" style="6" bestFit="1" customWidth="1"/>
    <col min="7942" max="7942" width="11" style="6" bestFit="1" customWidth="1"/>
    <col min="7943" max="7943" width="7.7109375" style="6" bestFit="1" customWidth="1"/>
    <col min="7944" max="7944" width="9.28515625" style="6" bestFit="1" customWidth="1"/>
    <col min="7945" max="7945" width="13.7109375" style="6" bestFit="1" customWidth="1"/>
    <col min="7946" max="7948" width="9" style="6" customWidth="1"/>
    <col min="7949" max="7949" width="10" style="6" customWidth="1"/>
    <col min="7950" max="7950" width="5.5703125" style="6" customWidth="1"/>
    <col min="7951" max="7951" width="15" style="6" customWidth="1"/>
    <col min="7952" max="7952" width="11.42578125" style="6" customWidth="1"/>
    <col min="7953" max="7953" width="12.85546875" style="6" bestFit="1" customWidth="1"/>
    <col min="7954" max="7954" width="14" style="6" bestFit="1" customWidth="1"/>
    <col min="7955" max="7955" width="22.5703125" style="6" bestFit="1" customWidth="1"/>
    <col min="7956" max="7956" width="14.140625" style="6" bestFit="1" customWidth="1"/>
    <col min="7957" max="7957" width="14.140625" style="6" customWidth="1"/>
    <col min="7958" max="7960" width="0" style="6" hidden="1" customWidth="1"/>
    <col min="7961" max="8192" width="8.85546875" style="6"/>
    <col min="8193" max="8193" width="8.140625" style="6" customWidth="1"/>
    <col min="8194" max="8194" width="54.140625" style="6" customWidth="1"/>
    <col min="8195" max="8195" width="13.5703125" style="6" bestFit="1" customWidth="1"/>
    <col min="8196" max="8196" width="10.85546875" style="6" bestFit="1" customWidth="1"/>
    <col min="8197" max="8197" width="10.28515625" style="6" bestFit="1" customWidth="1"/>
    <col min="8198" max="8198" width="11" style="6" bestFit="1" customWidth="1"/>
    <col min="8199" max="8199" width="7.7109375" style="6" bestFit="1" customWidth="1"/>
    <col min="8200" max="8200" width="9.28515625" style="6" bestFit="1" customWidth="1"/>
    <col min="8201" max="8201" width="13.7109375" style="6" bestFit="1" customWidth="1"/>
    <col min="8202" max="8204" width="9" style="6" customWidth="1"/>
    <col min="8205" max="8205" width="10" style="6" customWidth="1"/>
    <col min="8206" max="8206" width="5.5703125" style="6" customWidth="1"/>
    <col min="8207" max="8207" width="15" style="6" customWidth="1"/>
    <col min="8208" max="8208" width="11.42578125" style="6" customWidth="1"/>
    <col min="8209" max="8209" width="12.85546875" style="6" bestFit="1" customWidth="1"/>
    <col min="8210" max="8210" width="14" style="6" bestFit="1" customWidth="1"/>
    <col min="8211" max="8211" width="22.5703125" style="6" bestFit="1" customWidth="1"/>
    <col min="8212" max="8212" width="14.140625" style="6" bestFit="1" customWidth="1"/>
    <col min="8213" max="8213" width="14.140625" style="6" customWidth="1"/>
    <col min="8214" max="8216" width="0" style="6" hidden="1" customWidth="1"/>
    <col min="8217" max="8448" width="8.85546875" style="6"/>
    <col min="8449" max="8449" width="8.140625" style="6" customWidth="1"/>
    <col min="8450" max="8450" width="54.140625" style="6" customWidth="1"/>
    <col min="8451" max="8451" width="13.5703125" style="6" bestFit="1" customWidth="1"/>
    <col min="8452" max="8452" width="10.85546875" style="6" bestFit="1" customWidth="1"/>
    <col min="8453" max="8453" width="10.28515625" style="6" bestFit="1" customWidth="1"/>
    <col min="8454" max="8454" width="11" style="6" bestFit="1" customWidth="1"/>
    <col min="8455" max="8455" width="7.7109375" style="6" bestFit="1" customWidth="1"/>
    <col min="8456" max="8456" width="9.28515625" style="6" bestFit="1" customWidth="1"/>
    <col min="8457" max="8457" width="13.7109375" style="6" bestFit="1" customWidth="1"/>
    <col min="8458" max="8460" width="9" style="6" customWidth="1"/>
    <col min="8461" max="8461" width="10" style="6" customWidth="1"/>
    <col min="8462" max="8462" width="5.5703125" style="6" customWidth="1"/>
    <col min="8463" max="8463" width="15" style="6" customWidth="1"/>
    <col min="8464" max="8464" width="11.42578125" style="6" customWidth="1"/>
    <col min="8465" max="8465" width="12.85546875" style="6" bestFit="1" customWidth="1"/>
    <col min="8466" max="8466" width="14" style="6" bestFit="1" customWidth="1"/>
    <col min="8467" max="8467" width="22.5703125" style="6" bestFit="1" customWidth="1"/>
    <col min="8468" max="8468" width="14.140625" style="6" bestFit="1" customWidth="1"/>
    <col min="8469" max="8469" width="14.140625" style="6" customWidth="1"/>
    <col min="8470" max="8472" width="0" style="6" hidden="1" customWidth="1"/>
    <col min="8473" max="8704" width="8.85546875" style="6"/>
    <col min="8705" max="8705" width="8.140625" style="6" customWidth="1"/>
    <col min="8706" max="8706" width="54.140625" style="6" customWidth="1"/>
    <col min="8707" max="8707" width="13.5703125" style="6" bestFit="1" customWidth="1"/>
    <col min="8708" max="8708" width="10.85546875" style="6" bestFit="1" customWidth="1"/>
    <col min="8709" max="8709" width="10.28515625" style="6" bestFit="1" customWidth="1"/>
    <col min="8710" max="8710" width="11" style="6" bestFit="1" customWidth="1"/>
    <col min="8711" max="8711" width="7.7109375" style="6" bestFit="1" customWidth="1"/>
    <col min="8712" max="8712" width="9.28515625" style="6" bestFit="1" customWidth="1"/>
    <col min="8713" max="8713" width="13.7109375" style="6" bestFit="1" customWidth="1"/>
    <col min="8714" max="8716" width="9" style="6" customWidth="1"/>
    <col min="8717" max="8717" width="10" style="6" customWidth="1"/>
    <col min="8718" max="8718" width="5.5703125" style="6" customWidth="1"/>
    <col min="8719" max="8719" width="15" style="6" customWidth="1"/>
    <col min="8720" max="8720" width="11.42578125" style="6" customWidth="1"/>
    <col min="8721" max="8721" width="12.85546875" style="6" bestFit="1" customWidth="1"/>
    <col min="8722" max="8722" width="14" style="6" bestFit="1" customWidth="1"/>
    <col min="8723" max="8723" width="22.5703125" style="6" bestFit="1" customWidth="1"/>
    <col min="8724" max="8724" width="14.140625" style="6" bestFit="1" customWidth="1"/>
    <col min="8725" max="8725" width="14.140625" style="6" customWidth="1"/>
    <col min="8726" max="8728" width="0" style="6" hidden="1" customWidth="1"/>
    <col min="8729" max="8960" width="8.85546875" style="6"/>
    <col min="8961" max="8961" width="8.140625" style="6" customWidth="1"/>
    <col min="8962" max="8962" width="54.140625" style="6" customWidth="1"/>
    <col min="8963" max="8963" width="13.5703125" style="6" bestFit="1" customWidth="1"/>
    <col min="8964" max="8964" width="10.85546875" style="6" bestFit="1" customWidth="1"/>
    <col min="8965" max="8965" width="10.28515625" style="6" bestFit="1" customWidth="1"/>
    <col min="8966" max="8966" width="11" style="6" bestFit="1" customWidth="1"/>
    <col min="8967" max="8967" width="7.7109375" style="6" bestFit="1" customWidth="1"/>
    <col min="8968" max="8968" width="9.28515625" style="6" bestFit="1" customWidth="1"/>
    <col min="8969" max="8969" width="13.7109375" style="6" bestFit="1" customWidth="1"/>
    <col min="8970" max="8972" width="9" style="6" customWidth="1"/>
    <col min="8973" max="8973" width="10" style="6" customWidth="1"/>
    <col min="8974" max="8974" width="5.5703125" style="6" customWidth="1"/>
    <col min="8975" max="8975" width="15" style="6" customWidth="1"/>
    <col min="8976" max="8976" width="11.42578125" style="6" customWidth="1"/>
    <col min="8977" max="8977" width="12.85546875" style="6" bestFit="1" customWidth="1"/>
    <col min="8978" max="8978" width="14" style="6" bestFit="1" customWidth="1"/>
    <col min="8979" max="8979" width="22.5703125" style="6" bestFit="1" customWidth="1"/>
    <col min="8980" max="8980" width="14.140625" style="6" bestFit="1" customWidth="1"/>
    <col min="8981" max="8981" width="14.140625" style="6" customWidth="1"/>
    <col min="8982" max="8984" width="0" style="6" hidden="1" customWidth="1"/>
    <col min="8985" max="9216" width="8.85546875" style="6"/>
    <col min="9217" max="9217" width="8.140625" style="6" customWidth="1"/>
    <col min="9218" max="9218" width="54.140625" style="6" customWidth="1"/>
    <col min="9219" max="9219" width="13.5703125" style="6" bestFit="1" customWidth="1"/>
    <col min="9220" max="9220" width="10.85546875" style="6" bestFit="1" customWidth="1"/>
    <col min="9221" max="9221" width="10.28515625" style="6" bestFit="1" customWidth="1"/>
    <col min="9222" max="9222" width="11" style="6" bestFit="1" customWidth="1"/>
    <col min="9223" max="9223" width="7.7109375" style="6" bestFit="1" customWidth="1"/>
    <col min="9224" max="9224" width="9.28515625" style="6" bestFit="1" customWidth="1"/>
    <col min="9225" max="9225" width="13.7109375" style="6" bestFit="1" customWidth="1"/>
    <col min="9226" max="9228" width="9" style="6" customWidth="1"/>
    <col min="9229" max="9229" width="10" style="6" customWidth="1"/>
    <col min="9230" max="9230" width="5.5703125" style="6" customWidth="1"/>
    <col min="9231" max="9231" width="15" style="6" customWidth="1"/>
    <col min="9232" max="9232" width="11.42578125" style="6" customWidth="1"/>
    <col min="9233" max="9233" width="12.85546875" style="6" bestFit="1" customWidth="1"/>
    <col min="9234" max="9234" width="14" style="6" bestFit="1" customWidth="1"/>
    <col min="9235" max="9235" width="22.5703125" style="6" bestFit="1" customWidth="1"/>
    <col min="9236" max="9236" width="14.140625" style="6" bestFit="1" customWidth="1"/>
    <col min="9237" max="9237" width="14.140625" style="6" customWidth="1"/>
    <col min="9238" max="9240" width="0" style="6" hidden="1" customWidth="1"/>
    <col min="9241" max="9472" width="8.85546875" style="6"/>
    <col min="9473" max="9473" width="8.140625" style="6" customWidth="1"/>
    <col min="9474" max="9474" width="54.140625" style="6" customWidth="1"/>
    <col min="9475" max="9475" width="13.5703125" style="6" bestFit="1" customWidth="1"/>
    <col min="9476" max="9476" width="10.85546875" style="6" bestFit="1" customWidth="1"/>
    <col min="9477" max="9477" width="10.28515625" style="6" bestFit="1" customWidth="1"/>
    <col min="9478" max="9478" width="11" style="6" bestFit="1" customWidth="1"/>
    <col min="9479" max="9479" width="7.7109375" style="6" bestFit="1" customWidth="1"/>
    <col min="9480" max="9480" width="9.28515625" style="6" bestFit="1" customWidth="1"/>
    <col min="9481" max="9481" width="13.7109375" style="6" bestFit="1" customWidth="1"/>
    <col min="9482" max="9484" width="9" style="6" customWidth="1"/>
    <col min="9485" max="9485" width="10" style="6" customWidth="1"/>
    <col min="9486" max="9486" width="5.5703125" style="6" customWidth="1"/>
    <col min="9487" max="9487" width="15" style="6" customWidth="1"/>
    <col min="9488" max="9488" width="11.42578125" style="6" customWidth="1"/>
    <col min="9489" max="9489" width="12.85546875" style="6" bestFit="1" customWidth="1"/>
    <col min="9490" max="9490" width="14" style="6" bestFit="1" customWidth="1"/>
    <col min="9491" max="9491" width="22.5703125" style="6" bestFit="1" customWidth="1"/>
    <col min="9492" max="9492" width="14.140625" style="6" bestFit="1" customWidth="1"/>
    <col min="9493" max="9493" width="14.140625" style="6" customWidth="1"/>
    <col min="9494" max="9496" width="0" style="6" hidden="1" customWidth="1"/>
    <col min="9497" max="9728" width="8.85546875" style="6"/>
    <col min="9729" max="9729" width="8.140625" style="6" customWidth="1"/>
    <col min="9730" max="9730" width="54.140625" style="6" customWidth="1"/>
    <col min="9731" max="9731" width="13.5703125" style="6" bestFit="1" customWidth="1"/>
    <col min="9732" max="9732" width="10.85546875" style="6" bestFit="1" customWidth="1"/>
    <col min="9733" max="9733" width="10.28515625" style="6" bestFit="1" customWidth="1"/>
    <col min="9734" max="9734" width="11" style="6" bestFit="1" customWidth="1"/>
    <col min="9735" max="9735" width="7.7109375" style="6" bestFit="1" customWidth="1"/>
    <col min="9736" max="9736" width="9.28515625" style="6" bestFit="1" customWidth="1"/>
    <col min="9737" max="9737" width="13.7109375" style="6" bestFit="1" customWidth="1"/>
    <col min="9738" max="9740" width="9" style="6" customWidth="1"/>
    <col min="9741" max="9741" width="10" style="6" customWidth="1"/>
    <col min="9742" max="9742" width="5.5703125" style="6" customWidth="1"/>
    <col min="9743" max="9743" width="15" style="6" customWidth="1"/>
    <col min="9744" max="9744" width="11.42578125" style="6" customWidth="1"/>
    <col min="9745" max="9745" width="12.85546875" style="6" bestFit="1" customWidth="1"/>
    <col min="9746" max="9746" width="14" style="6" bestFit="1" customWidth="1"/>
    <col min="9747" max="9747" width="22.5703125" style="6" bestFit="1" customWidth="1"/>
    <col min="9748" max="9748" width="14.140625" style="6" bestFit="1" customWidth="1"/>
    <col min="9749" max="9749" width="14.140625" style="6" customWidth="1"/>
    <col min="9750" max="9752" width="0" style="6" hidden="1" customWidth="1"/>
    <col min="9753" max="9984" width="8.85546875" style="6"/>
    <col min="9985" max="9985" width="8.140625" style="6" customWidth="1"/>
    <col min="9986" max="9986" width="54.140625" style="6" customWidth="1"/>
    <col min="9987" max="9987" width="13.5703125" style="6" bestFit="1" customWidth="1"/>
    <col min="9988" max="9988" width="10.85546875" style="6" bestFit="1" customWidth="1"/>
    <col min="9989" max="9989" width="10.28515625" style="6" bestFit="1" customWidth="1"/>
    <col min="9990" max="9990" width="11" style="6" bestFit="1" customWidth="1"/>
    <col min="9991" max="9991" width="7.7109375" style="6" bestFit="1" customWidth="1"/>
    <col min="9992" max="9992" width="9.28515625" style="6" bestFit="1" customWidth="1"/>
    <col min="9993" max="9993" width="13.7109375" style="6" bestFit="1" customWidth="1"/>
    <col min="9994" max="9996" width="9" style="6" customWidth="1"/>
    <col min="9997" max="9997" width="10" style="6" customWidth="1"/>
    <col min="9998" max="9998" width="5.5703125" style="6" customWidth="1"/>
    <col min="9999" max="9999" width="15" style="6" customWidth="1"/>
    <col min="10000" max="10000" width="11.42578125" style="6" customWidth="1"/>
    <col min="10001" max="10001" width="12.85546875" style="6" bestFit="1" customWidth="1"/>
    <col min="10002" max="10002" width="14" style="6" bestFit="1" customWidth="1"/>
    <col min="10003" max="10003" width="22.5703125" style="6" bestFit="1" customWidth="1"/>
    <col min="10004" max="10004" width="14.140625" style="6" bestFit="1" customWidth="1"/>
    <col min="10005" max="10005" width="14.140625" style="6" customWidth="1"/>
    <col min="10006" max="10008" width="0" style="6" hidden="1" customWidth="1"/>
    <col min="10009" max="10240" width="8.85546875" style="6"/>
    <col min="10241" max="10241" width="8.140625" style="6" customWidth="1"/>
    <col min="10242" max="10242" width="54.140625" style="6" customWidth="1"/>
    <col min="10243" max="10243" width="13.5703125" style="6" bestFit="1" customWidth="1"/>
    <col min="10244" max="10244" width="10.85546875" style="6" bestFit="1" customWidth="1"/>
    <col min="10245" max="10245" width="10.28515625" style="6" bestFit="1" customWidth="1"/>
    <col min="10246" max="10246" width="11" style="6" bestFit="1" customWidth="1"/>
    <col min="10247" max="10247" width="7.7109375" style="6" bestFit="1" customWidth="1"/>
    <col min="10248" max="10248" width="9.28515625" style="6" bestFit="1" customWidth="1"/>
    <col min="10249" max="10249" width="13.7109375" style="6" bestFit="1" customWidth="1"/>
    <col min="10250" max="10252" width="9" style="6" customWidth="1"/>
    <col min="10253" max="10253" width="10" style="6" customWidth="1"/>
    <col min="10254" max="10254" width="5.5703125" style="6" customWidth="1"/>
    <col min="10255" max="10255" width="15" style="6" customWidth="1"/>
    <col min="10256" max="10256" width="11.42578125" style="6" customWidth="1"/>
    <col min="10257" max="10257" width="12.85546875" style="6" bestFit="1" customWidth="1"/>
    <col min="10258" max="10258" width="14" style="6" bestFit="1" customWidth="1"/>
    <col min="10259" max="10259" width="22.5703125" style="6" bestFit="1" customWidth="1"/>
    <col min="10260" max="10260" width="14.140625" style="6" bestFit="1" customWidth="1"/>
    <col min="10261" max="10261" width="14.140625" style="6" customWidth="1"/>
    <col min="10262" max="10264" width="0" style="6" hidden="1" customWidth="1"/>
    <col min="10265" max="10496" width="8.85546875" style="6"/>
    <col min="10497" max="10497" width="8.140625" style="6" customWidth="1"/>
    <col min="10498" max="10498" width="54.140625" style="6" customWidth="1"/>
    <col min="10499" max="10499" width="13.5703125" style="6" bestFit="1" customWidth="1"/>
    <col min="10500" max="10500" width="10.85546875" style="6" bestFit="1" customWidth="1"/>
    <col min="10501" max="10501" width="10.28515625" style="6" bestFit="1" customWidth="1"/>
    <col min="10502" max="10502" width="11" style="6" bestFit="1" customWidth="1"/>
    <col min="10503" max="10503" width="7.7109375" style="6" bestFit="1" customWidth="1"/>
    <col min="10504" max="10504" width="9.28515625" style="6" bestFit="1" customWidth="1"/>
    <col min="10505" max="10505" width="13.7109375" style="6" bestFit="1" customWidth="1"/>
    <col min="10506" max="10508" width="9" style="6" customWidth="1"/>
    <col min="10509" max="10509" width="10" style="6" customWidth="1"/>
    <col min="10510" max="10510" width="5.5703125" style="6" customWidth="1"/>
    <col min="10511" max="10511" width="15" style="6" customWidth="1"/>
    <col min="10512" max="10512" width="11.42578125" style="6" customWidth="1"/>
    <col min="10513" max="10513" width="12.85546875" style="6" bestFit="1" customWidth="1"/>
    <col min="10514" max="10514" width="14" style="6" bestFit="1" customWidth="1"/>
    <col min="10515" max="10515" width="22.5703125" style="6" bestFit="1" customWidth="1"/>
    <col min="10516" max="10516" width="14.140625" style="6" bestFit="1" customWidth="1"/>
    <col min="10517" max="10517" width="14.140625" style="6" customWidth="1"/>
    <col min="10518" max="10520" width="0" style="6" hidden="1" customWidth="1"/>
    <col min="10521" max="10752" width="8.85546875" style="6"/>
    <col min="10753" max="10753" width="8.140625" style="6" customWidth="1"/>
    <col min="10754" max="10754" width="54.140625" style="6" customWidth="1"/>
    <col min="10755" max="10755" width="13.5703125" style="6" bestFit="1" customWidth="1"/>
    <col min="10756" max="10756" width="10.85546875" style="6" bestFit="1" customWidth="1"/>
    <col min="10757" max="10757" width="10.28515625" style="6" bestFit="1" customWidth="1"/>
    <col min="10758" max="10758" width="11" style="6" bestFit="1" customWidth="1"/>
    <col min="10759" max="10759" width="7.7109375" style="6" bestFit="1" customWidth="1"/>
    <col min="10760" max="10760" width="9.28515625" style="6" bestFit="1" customWidth="1"/>
    <col min="10761" max="10761" width="13.7109375" style="6" bestFit="1" customWidth="1"/>
    <col min="10762" max="10764" width="9" style="6" customWidth="1"/>
    <col min="10765" max="10765" width="10" style="6" customWidth="1"/>
    <col min="10766" max="10766" width="5.5703125" style="6" customWidth="1"/>
    <col min="10767" max="10767" width="15" style="6" customWidth="1"/>
    <col min="10768" max="10768" width="11.42578125" style="6" customWidth="1"/>
    <col min="10769" max="10769" width="12.85546875" style="6" bestFit="1" customWidth="1"/>
    <col min="10770" max="10770" width="14" style="6" bestFit="1" customWidth="1"/>
    <col min="10771" max="10771" width="22.5703125" style="6" bestFit="1" customWidth="1"/>
    <col min="10772" max="10772" width="14.140625" style="6" bestFit="1" customWidth="1"/>
    <col min="10773" max="10773" width="14.140625" style="6" customWidth="1"/>
    <col min="10774" max="10776" width="0" style="6" hidden="1" customWidth="1"/>
    <col min="10777" max="11008" width="8.85546875" style="6"/>
    <col min="11009" max="11009" width="8.140625" style="6" customWidth="1"/>
    <col min="11010" max="11010" width="54.140625" style="6" customWidth="1"/>
    <col min="11011" max="11011" width="13.5703125" style="6" bestFit="1" customWidth="1"/>
    <col min="11012" max="11012" width="10.85546875" style="6" bestFit="1" customWidth="1"/>
    <col min="11013" max="11013" width="10.28515625" style="6" bestFit="1" customWidth="1"/>
    <col min="11014" max="11014" width="11" style="6" bestFit="1" customWidth="1"/>
    <col min="11015" max="11015" width="7.7109375" style="6" bestFit="1" customWidth="1"/>
    <col min="11016" max="11016" width="9.28515625" style="6" bestFit="1" customWidth="1"/>
    <col min="11017" max="11017" width="13.7109375" style="6" bestFit="1" customWidth="1"/>
    <col min="11018" max="11020" width="9" style="6" customWidth="1"/>
    <col min="11021" max="11021" width="10" style="6" customWidth="1"/>
    <col min="11022" max="11022" width="5.5703125" style="6" customWidth="1"/>
    <col min="11023" max="11023" width="15" style="6" customWidth="1"/>
    <col min="11024" max="11024" width="11.42578125" style="6" customWidth="1"/>
    <col min="11025" max="11025" width="12.85546875" style="6" bestFit="1" customWidth="1"/>
    <col min="11026" max="11026" width="14" style="6" bestFit="1" customWidth="1"/>
    <col min="11027" max="11027" width="22.5703125" style="6" bestFit="1" customWidth="1"/>
    <col min="11028" max="11028" width="14.140625" style="6" bestFit="1" customWidth="1"/>
    <col min="11029" max="11029" width="14.140625" style="6" customWidth="1"/>
    <col min="11030" max="11032" width="0" style="6" hidden="1" customWidth="1"/>
    <col min="11033" max="11264" width="8.85546875" style="6"/>
    <col min="11265" max="11265" width="8.140625" style="6" customWidth="1"/>
    <col min="11266" max="11266" width="54.140625" style="6" customWidth="1"/>
    <col min="11267" max="11267" width="13.5703125" style="6" bestFit="1" customWidth="1"/>
    <col min="11268" max="11268" width="10.85546875" style="6" bestFit="1" customWidth="1"/>
    <col min="11269" max="11269" width="10.28515625" style="6" bestFit="1" customWidth="1"/>
    <col min="11270" max="11270" width="11" style="6" bestFit="1" customWidth="1"/>
    <col min="11271" max="11271" width="7.7109375" style="6" bestFit="1" customWidth="1"/>
    <col min="11272" max="11272" width="9.28515625" style="6" bestFit="1" customWidth="1"/>
    <col min="11273" max="11273" width="13.7109375" style="6" bestFit="1" customWidth="1"/>
    <col min="11274" max="11276" width="9" style="6" customWidth="1"/>
    <col min="11277" max="11277" width="10" style="6" customWidth="1"/>
    <col min="11278" max="11278" width="5.5703125" style="6" customWidth="1"/>
    <col min="11279" max="11279" width="15" style="6" customWidth="1"/>
    <col min="11280" max="11280" width="11.42578125" style="6" customWidth="1"/>
    <col min="11281" max="11281" width="12.85546875" style="6" bestFit="1" customWidth="1"/>
    <col min="11282" max="11282" width="14" style="6" bestFit="1" customWidth="1"/>
    <col min="11283" max="11283" width="22.5703125" style="6" bestFit="1" customWidth="1"/>
    <col min="11284" max="11284" width="14.140625" style="6" bestFit="1" customWidth="1"/>
    <col min="11285" max="11285" width="14.140625" style="6" customWidth="1"/>
    <col min="11286" max="11288" width="0" style="6" hidden="1" customWidth="1"/>
    <col min="11289" max="11520" width="8.85546875" style="6"/>
    <col min="11521" max="11521" width="8.140625" style="6" customWidth="1"/>
    <col min="11522" max="11522" width="54.140625" style="6" customWidth="1"/>
    <col min="11523" max="11523" width="13.5703125" style="6" bestFit="1" customWidth="1"/>
    <col min="11524" max="11524" width="10.85546875" style="6" bestFit="1" customWidth="1"/>
    <col min="11525" max="11525" width="10.28515625" style="6" bestFit="1" customWidth="1"/>
    <col min="11526" max="11526" width="11" style="6" bestFit="1" customWidth="1"/>
    <col min="11527" max="11527" width="7.7109375" style="6" bestFit="1" customWidth="1"/>
    <col min="11528" max="11528" width="9.28515625" style="6" bestFit="1" customWidth="1"/>
    <col min="11529" max="11529" width="13.7109375" style="6" bestFit="1" customWidth="1"/>
    <col min="11530" max="11532" width="9" style="6" customWidth="1"/>
    <col min="11533" max="11533" width="10" style="6" customWidth="1"/>
    <col min="11534" max="11534" width="5.5703125" style="6" customWidth="1"/>
    <col min="11535" max="11535" width="15" style="6" customWidth="1"/>
    <col min="11536" max="11536" width="11.42578125" style="6" customWidth="1"/>
    <col min="11537" max="11537" width="12.85546875" style="6" bestFit="1" customWidth="1"/>
    <col min="11538" max="11538" width="14" style="6" bestFit="1" customWidth="1"/>
    <col min="11539" max="11539" width="22.5703125" style="6" bestFit="1" customWidth="1"/>
    <col min="11540" max="11540" width="14.140625" style="6" bestFit="1" customWidth="1"/>
    <col min="11541" max="11541" width="14.140625" style="6" customWidth="1"/>
    <col min="11542" max="11544" width="0" style="6" hidden="1" customWidth="1"/>
    <col min="11545" max="11776" width="8.85546875" style="6"/>
    <col min="11777" max="11777" width="8.140625" style="6" customWidth="1"/>
    <col min="11778" max="11778" width="54.140625" style="6" customWidth="1"/>
    <col min="11779" max="11779" width="13.5703125" style="6" bestFit="1" customWidth="1"/>
    <col min="11780" max="11780" width="10.85546875" style="6" bestFit="1" customWidth="1"/>
    <col min="11781" max="11781" width="10.28515625" style="6" bestFit="1" customWidth="1"/>
    <col min="11782" max="11782" width="11" style="6" bestFit="1" customWidth="1"/>
    <col min="11783" max="11783" width="7.7109375" style="6" bestFit="1" customWidth="1"/>
    <col min="11784" max="11784" width="9.28515625" style="6" bestFit="1" customWidth="1"/>
    <col min="11785" max="11785" width="13.7109375" style="6" bestFit="1" customWidth="1"/>
    <col min="11786" max="11788" width="9" style="6" customWidth="1"/>
    <col min="11789" max="11789" width="10" style="6" customWidth="1"/>
    <col min="11790" max="11790" width="5.5703125" style="6" customWidth="1"/>
    <col min="11791" max="11791" width="15" style="6" customWidth="1"/>
    <col min="11792" max="11792" width="11.42578125" style="6" customWidth="1"/>
    <col min="11793" max="11793" width="12.85546875" style="6" bestFit="1" customWidth="1"/>
    <col min="11794" max="11794" width="14" style="6" bestFit="1" customWidth="1"/>
    <col min="11795" max="11795" width="22.5703125" style="6" bestFit="1" customWidth="1"/>
    <col min="11796" max="11796" width="14.140625" style="6" bestFit="1" customWidth="1"/>
    <col min="11797" max="11797" width="14.140625" style="6" customWidth="1"/>
    <col min="11798" max="11800" width="0" style="6" hidden="1" customWidth="1"/>
    <col min="11801" max="12032" width="8.85546875" style="6"/>
    <col min="12033" max="12033" width="8.140625" style="6" customWidth="1"/>
    <col min="12034" max="12034" width="54.140625" style="6" customWidth="1"/>
    <col min="12035" max="12035" width="13.5703125" style="6" bestFit="1" customWidth="1"/>
    <col min="12036" max="12036" width="10.85546875" style="6" bestFit="1" customWidth="1"/>
    <col min="12037" max="12037" width="10.28515625" style="6" bestFit="1" customWidth="1"/>
    <col min="12038" max="12038" width="11" style="6" bestFit="1" customWidth="1"/>
    <col min="12039" max="12039" width="7.7109375" style="6" bestFit="1" customWidth="1"/>
    <col min="12040" max="12040" width="9.28515625" style="6" bestFit="1" customWidth="1"/>
    <col min="12041" max="12041" width="13.7109375" style="6" bestFit="1" customWidth="1"/>
    <col min="12042" max="12044" width="9" style="6" customWidth="1"/>
    <col min="12045" max="12045" width="10" style="6" customWidth="1"/>
    <col min="12046" max="12046" width="5.5703125" style="6" customWidth="1"/>
    <col min="12047" max="12047" width="15" style="6" customWidth="1"/>
    <col min="12048" max="12048" width="11.42578125" style="6" customWidth="1"/>
    <col min="12049" max="12049" width="12.85546875" style="6" bestFit="1" customWidth="1"/>
    <col min="12050" max="12050" width="14" style="6" bestFit="1" customWidth="1"/>
    <col min="12051" max="12051" width="22.5703125" style="6" bestFit="1" customWidth="1"/>
    <col min="12052" max="12052" width="14.140625" style="6" bestFit="1" customWidth="1"/>
    <col min="12053" max="12053" width="14.140625" style="6" customWidth="1"/>
    <col min="12054" max="12056" width="0" style="6" hidden="1" customWidth="1"/>
    <col min="12057" max="12288" width="8.85546875" style="6"/>
    <col min="12289" max="12289" width="8.140625" style="6" customWidth="1"/>
    <col min="12290" max="12290" width="54.140625" style="6" customWidth="1"/>
    <col min="12291" max="12291" width="13.5703125" style="6" bestFit="1" customWidth="1"/>
    <col min="12292" max="12292" width="10.85546875" style="6" bestFit="1" customWidth="1"/>
    <col min="12293" max="12293" width="10.28515625" style="6" bestFit="1" customWidth="1"/>
    <col min="12294" max="12294" width="11" style="6" bestFit="1" customWidth="1"/>
    <col min="12295" max="12295" width="7.7109375" style="6" bestFit="1" customWidth="1"/>
    <col min="12296" max="12296" width="9.28515625" style="6" bestFit="1" customWidth="1"/>
    <col min="12297" max="12297" width="13.7109375" style="6" bestFit="1" customWidth="1"/>
    <col min="12298" max="12300" width="9" style="6" customWidth="1"/>
    <col min="12301" max="12301" width="10" style="6" customWidth="1"/>
    <col min="12302" max="12302" width="5.5703125" style="6" customWidth="1"/>
    <col min="12303" max="12303" width="15" style="6" customWidth="1"/>
    <col min="12304" max="12304" width="11.42578125" style="6" customWidth="1"/>
    <col min="12305" max="12305" width="12.85546875" style="6" bestFit="1" customWidth="1"/>
    <col min="12306" max="12306" width="14" style="6" bestFit="1" customWidth="1"/>
    <col min="12307" max="12307" width="22.5703125" style="6" bestFit="1" customWidth="1"/>
    <col min="12308" max="12308" width="14.140625" style="6" bestFit="1" customWidth="1"/>
    <col min="12309" max="12309" width="14.140625" style="6" customWidth="1"/>
    <col min="12310" max="12312" width="0" style="6" hidden="1" customWidth="1"/>
    <col min="12313" max="12544" width="8.85546875" style="6"/>
    <col min="12545" max="12545" width="8.140625" style="6" customWidth="1"/>
    <col min="12546" max="12546" width="54.140625" style="6" customWidth="1"/>
    <col min="12547" max="12547" width="13.5703125" style="6" bestFit="1" customWidth="1"/>
    <col min="12548" max="12548" width="10.85546875" style="6" bestFit="1" customWidth="1"/>
    <col min="12549" max="12549" width="10.28515625" style="6" bestFit="1" customWidth="1"/>
    <col min="12550" max="12550" width="11" style="6" bestFit="1" customWidth="1"/>
    <col min="12551" max="12551" width="7.7109375" style="6" bestFit="1" customWidth="1"/>
    <col min="12552" max="12552" width="9.28515625" style="6" bestFit="1" customWidth="1"/>
    <col min="12553" max="12553" width="13.7109375" style="6" bestFit="1" customWidth="1"/>
    <col min="12554" max="12556" width="9" style="6" customWidth="1"/>
    <col min="12557" max="12557" width="10" style="6" customWidth="1"/>
    <col min="12558" max="12558" width="5.5703125" style="6" customWidth="1"/>
    <col min="12559" max="12559" width="15" style="6" customWidth="1"/>
    <col min="12560" max="12560" width="11.42578125" style="6" customWidth="1"/>
    <col min="12561" max="12561" width="12.85546875" style="6" bestFit="1" customWidth="1"/>
    <col min="12562" max="12562" width="14" style="6" bestFit="1" customWidth="1"/>
    <col min="12563" max="12563" width="22.5703125" style="6" bestFit="1" customWidth="1"/>
    <col min="12564" max="12564" width="14.140625" style="6" bestFit="1" customWidth="1"/>
    <col min="12565" max="12565" width="14.140625" style="6" customWidth="1"/>
    <col min="12566" max="12568" width="0" style="6" hidden="1" customWidth="1"/>
    <col min="12569" max="12800" width="8.85546875" style="6"/>
    <col min="12801" max="12801" width="8.140625" style="6" customWidth="1"/>
    <col min="12802" max="12802" width="54.140625" style="6" customWidth="1"/>
    <col min="12803" max="12803" width="13.5703125" style="6" bestFit="1" customWidth="1"/>
    <col min="12804" max="12804" width="10.85546875" style="6" bestFit="1" customWidth="1"/>
    <col min="12805" max="12805" width="10.28515625" style="6" bestFit="1" customWidth="1"/>
    <col min="12806" max="12806" width="11" style="6" bestFit="1" customWidth="1"/>
    <col min="12807" max="12807" width="7.7109375" style="6" bestFit="1" customWidth="1"/>
    <col min="12808" max="12808" width="9.28515625" style="6" bestFit="1" customWidth="1"/>
    <col min="12809" max="12809" width="13.7109375" style="6" bestFit="1" customWidth="1"/>
    <col min="12810" max="12812" width="9" style="6" customWidth="1"/>
    <col min="12813" max="12813" width="10" style="6" customWidth="1"/>
    <col min="12814" max="12814" width="5.5703125" style="6" customWidth="1"/>
    <col min="12815" max="12815" width="15" style="6" customWidth="1"/>
    <col min="12816" max="12816" width="11.42578125" style="6" customWidth="1"/>
    <col min="12817" max="12817" width="12.85546875" style="6" bestFit="1" customWidth="1"/>
    <col min="12818" max="12818" width="14" style="6" bestFit="1" customWidth="1"/>
    <col min="12819" max="12819" width="22.5703125" style="6" bestFit="1" customWidth="1"/>
    <col min="12820" max="12820" width="14.140625" style="6" bestFit="1" customWidth="1"/>
    <col min="12821" max="12821" width="14.140625" style="6" customWidth="1"/>
    <col min="12822" max="12824" width="0" style="6" hidden="1" customWidth="1"/>
    <col min="12825" max="13056" width="8.85546875" style="6"/>
    <col min="13057" max="13057" width="8.140625" style="6" customWidth="1"/>
    <col min="13058" max="13058" width="54.140625" style="6" customWidth="1"/>
    <col min="13059" max="13059" width="13.5703125" style="6" bestFit="1" customWidth="1"/>
    <col min="13060" max="13060" width="10.85546875" style="6" bestFit="1" customWidth="1"/>
    <col min="13061" max="13061" width="10.28515625" style="6" bestFit="1" customWidth="1"/>
    <col min="13062" max="13062" width="11" style="6" bestFit="1" customWidth="1"/>
    <col min="13063" max="13063" width="7.7109375" style="6" bestFit="1" customWidth="1"/>
    <col min="13064" max="13064" width="9.28515625" style="6" bestFit="1" customWidth="1"/>
    <col min="13065" max="13065" width="13.7109375" style="6" bestFit="1" customWidth="1"/>
    <col min="13066" max="13068" width="9" style="6" customWidth="1"/>
    <col min="13069" max="13069" width="10" style="6" customWidth="1"/>
    <col min="13070" max="13070" width="5.5703125" style="6" customWidth="1"/>
    <col min="13071" max="13071" width="15" style="6" customWidth="1"/>
    <col min="13072" max="13072" width="11.42578125" style="6" customWidth="1"/>
    <col min="13073" max="13073" width="12.85546875" style="6" bestFit="1" customWidth="1"/>
    <col min="13074" max="13074" width="14" style="6" bestFit="1" customWidth="1"/>
    <col min="13075" max="13075" width="22.5703125" style="6" bestFit="1" customWidth="1"/>
    <col min="13076" max="13076" width="14.140625" style="6" bestFit="1" customWidth="1"/>
    <col min="13077" max="13077" width="14.140625" style="6" customWidth="1"/>
    <col min="13078" max="13080" width="0" style="6" hidden="1" customWidth="1"/>
    <col min="13081" max="13312" width="8.85546875" style="6"/>
    <col min="13313" max="13313" width="8.140625" style="6" customWidth="1"/>
    <col min="13314" max="13314" width="54.140625" style="6" customWidth="1"/>
    <col min="13315" max="13315" width="13.5703125" style="6" bestFit="1" customWidth="1"/>
    <col min="13316" max="13316" width="10.85546875" style="6" bestFit="1" customWidth="1"/>
    <col min="13317" max="13317" width="10.28515625" style="6" bestFit="1" customWidth="1"/>
    <col min="13318" max="13318" width="11" style="6" bestFit="1" customWidth="1"/>
    <col min="13319" max="13319" width="7.7109375" style="6" bestFit="1" customWidth="1"/>
    <col min="13320" max="13320" width="9.28515625" style="6" bestFit="1" customWidth="1"/>
    <col min="13321" max="13321" width="13.7109375" style="6" bestFit="1" customWidth="1"/>
    <col min="13322" max="13324" width="9" style="6" customWidth="1"/>
    <col min="13325" max="13325" width="10" style="6" customWidth="1"/>
    <col min="13326" max="13326" width="5.5703125" style="6" customWidth="1"/>
    <col min="13327" max="13327" width="15" style="6" customWidth="1"/>
    <col min="13328" max="13328" width="11.42578125" style="6" customWidth="1"/>
    <col min="13329" max="13329" width="12.85546875" style="6" bestFit="1" customWidth="1"/>
    <col min="13330" max="13330" width="14" style="6" bestFit="1" customWidth="1"/>
    <col min="13331" max="13331" width="22.5703125" style="6" bestFit="1" customWidth="1"/>
    <col min="13332" max="13332" width="14.140625" style="6" bestFit="1" customWidth="1"/>
    <col min="13333" max="13333" width="14.140625" style="6" customWidth="1"/>
    <col min="13334" max="13336" width="0" style="6" hidden="1" customWidth="1"/>
    <col min="13337" max="13568" width="8.85546875" style="6"/>
    <col min="13569" max="13569" width="8.140625" style="6" customWidth="1"/>
    <col min="13570" max="13570" width="54.140625" style="6" customWidth="1"/>
    <col min="13571" max="13571" width="13.5703125" style="6" bestFit="1" customWidth="1"/>
    <col min="13572" max="13572" width="10.85546875" style="6" bestFit="1" customWidth="1"/>
    <col min="13573" max="13573" width="10.28515625" style="6" bestFit="1" customWidth="1"/>
    <col min="13574" max="13574" width="11" style="6" bestFit="1" customWidth="1"/>
    <col min="13575" max="13575" width="7.7109375" style="6" bestFit="1" customWidth="1"/>
    <col min="13576" max="13576" width="9.28515625" style="6" bestFit="1" customWidth="1"/>
    <col min="13577" max="13577" width="13.7109375" style="6" bestFit="1" customWidth="1"/>
    <col min="13578" max="13580" width="9" style="6" customWidth="1"/>
    <col min="13581" max="13581" width="10" style="6" customWidth="1"/>
    <col min="13582" max="13582" width="5.5703125" style="6" customWidth="1"/>
    <col min="13583" max="13583" width="15" style="6" customWidth="1"/>
    <col min="13584" max="13584" width="11.42578125" style="6" customWidth="1"/>
    <col min="13585" max="13585" width="12.85546875" style="6" bestFit="1" customWidth="1"/>
    <col min="13586" max="13586" width="14" style="6" bestFit="1" customWidth="1"/>
    <col min="13587" max="13587" width="22.5703125" style="6" bestFit="1" customWidth="1"/>
    <col min="13588" max="13588" width="14.140625" style="6" bestFit="1" customWidth="1"/>
    <col min="13589" max="13589" width="14.140625" style="6" customWidth="1"/>
    <col min="13590" max="13592" width="0" style="6" hidden="1" customWidth="1"/>
    <col min="13593" max="13824" width="8.85546875" style="6"/>
    <col min="13825" max="13825" width="8.140625" style="6" customWidth="1"/>
    <col min="13826" max="13826" width="54.140625" style="6" customWidth="1"/>
    <col min="13827" max="13827" width="13.5703125" style="6" bestFit="1" customWidth="1"/>
    <col min="13828" max="13828" width="10.85546875" style="6" bestFit="1" customWidth="1"/>
    <col min="13829" max="13829" width="10.28515625" style="6" bestFit="1" customWidth="1"/>
    <col min="13830" max="13830" width="11" style="6" bestFit="1" customWidth="1"/>
    <col min="13831" max="13831" width="7.7109375" style="6" bestFit="1" customWidth="1"/>
    <col min="13832" max="13832" width="9.28515625" style="6" bestFit="1" customWidth="1"/>
    <col min="13833" max="13833" width="13.7109375" style="6" bestFit="1" customWidth="1"/>
    <col min="13834" max="13836" width="9" style="6" customWidth="1"/>
    <col min="13837" max="13837" width="10" style="6" customWidth="1"/>
    <col min="13838" max="13838" width="5.5703125" style="6" customWidth="1"/>
    <col min="13839" max="13839" width="15" style="6" customWidth="1"/>
    <col min="13840" max="13840" width="11.42578125" style="6" customWidth="1"/>
    <col min="13841" max="13841" width="12.85546875" style="6" bestFit="1" customWidth="1"/>
    <col min="13842" max="13842" width="14" style="6" bestFit="1" customWidth="1"/>
    <col min="13843" max="13843" width="22.5703125" style="6" bestFit="1" customWidth="1"/>
    <col min="13844" max="13844" width="14.140625" style="6" bestFit="1" customWidth="1"/>
    <col min="13845" max="13845" width="14.140625" style="6" customWidth="1"/>
    <col min="13846" max="13848" width="0" style="6" hidden="1" customWidth="1"/>
    <col min="13849" max="14080" width="8.85546875" style="6"/>
    <col min="14081" max="14081" width="8.140625" style="6" customWidth="1"/>
    <col min="14082" max="14082" width="54.140625" style="6" customWidth="1"/>
    <col min="14083" max="14083" width="13.5703125" style="6" bestFit="1" customWidth="1"/>
    <col min="14084" max="14084" width="10.85546875" style="6" bestFit="1" customWidth="1"/>
    <col min="14085" max="14085" width="10.28515625" style="6" bestFit="1" customWidth="1"/>
    <col min="14086" max="14086" width="11" style="6" bestFit="1" customWidth="1"/>
    <col min="14087" max="14087" width="7.7109375" style="6" bestFit="1" customWidth="1"/>
    <col min="14088" max="14088" width="9.28515625" style="6" bestFit="1" customWidth="1"/>
    <col min="14089" max="14089" width="13.7109375" style="6" bestFit="1" customWidth="1"/>
    <col min="14090" max="14092" width="9" style="6" customWidth="1"/>
    <col min="14093" max="14093" width="10" style="6" customWidth="1"/>
    <col min="14094" max="14094" width="5.5703125" style="6" customWidth="1"/>
    <col min="14095" max="14095" width="15" style="6" customWidth="1"/>
    <col min="14096" max="14096" width="11.42578125" style="6" customWidth="1"/>
    <col min="14097" max="14097" width="12.85546875" style="6" bestFit="1" customWidth="1"/>
    <col min="14098" max="14098" width="14" style="6" bestFit="1" customWidth="1"/>
    <col min="14099" max="14099" width="22.5703125" style="6" bestFit="1" customWidth="1"/>
    <col min="14100" max="14100" width="14.140625" style="6" bestFit="1" customWidth="1"/>
    <col min="14101" max="14101" width="14.140625" style="6" customWidth="1"/>
    <col min="14102" max="14104" width="0" style="6" hidden="1" customWidth="1"/>
    <col min="14105" max="14336" width="8.85546875" style="6"/>
    <col min="14337" max="14337" width="8.140625" style="6" customWidth="1"/>
    <col min="14338" max="14338" width="54.140625" style="6" customWidth="1"/>
    <col min="14339" max="14339" width="13.5703125" style="6" bestFit="1" customWidth="1"/>
    <col min="14340" max="14340" width="10.85546875" style="6" bestFit="1" customWidth="1"/>
    <col min="14341" max="14341" width="10.28515625" style="6" bestFit="1" customWidth="1"/>
    <col min="14342" max="14342" width="11" style="6" bestFit="1" customWidth="1"/>
    <col min="14343" max="14343" width="7.7109375" style="6" bestFit="1" customWidth="1"/>
    <col min="14344" max="14344" width="9.28515625" style="6" bestFit="1" customWidth="1"/>
    <col min="14345" max="14345" width="13.7109375" style="6" bestFit="1" customWidth="1"/>
    <col min="14346" max="14348" width="9" style="6" customWidth="1"/>
    <col min="14349" max="14349" width="10" style="6" customWidth="1"/>
    <col min="14350" max="14350" width="5.5703125" style="6" customWidth="1"/>
    <col min="14351" max="14351" width="15" style="6" customWidth="1"/>
    <col min="14352" max="14352" width="11.42578125" style="6" customWidth="1"/>
    <col min="14353" max="14353" width="12.85546875" style="6" bestFit="1" customWidth="1"/>
    <col min="14354" max="14354" width="14" style="6" bestFit="1" customWidth="1"/>
    <col min="14355" max="14355" width="22.5703125" style="6" bestFit="1" customWidth="1"/>
    <col min="14356" max="14356" width="14.140625" style="6" bestFit="1" customWidth="1"/>
    <col min="14357" max="14357" width="14.140625" style="6" customWidth="1"/>
    <col min="14358" max="14360" width="0" style="6" hidden="1" customWidth="1"/>
    <col min="14361" max="14592" width="8.85546875" style="6"/>
    <col min="14593" max="14593" width="8.140625" style="6" customWidth="1"/>
    <col min="14594" max="14594" width="54.140625" style="6" customWidth="1"/>
    <col min="14595" max="14595" width="13.5703125" style="6" bestFit="1" customWidth="1"/>
    <col min="14596" max="14596" width="10.85546875" style="6" bestFit="1" customWidth="1"/>
    <col min="14597" max="14597" width="10.28515625" style="6" bestFit="1" customWidth="1"/>
    <col min="14598" max="14598" width="11" style="6" bestFit="1" customWidth="1"/>
    <col min="14599" max="14599" width="7.7109375" style="6" bestFit="1" customWidth="1"/>
    <col min="14600" max="14600" width="9.28515625" style="6" bestFit="1" customWidth="1"/>
    <col min="14601" max="14601" width="13.7109375" style="6" bestFit="1" customWidth="1"/>
    <col min="14602" max="14604" width="9" style="6" customWidth="1"/>
    <col min="14605" max="14605" width="10" style="6" customWidth="1"/>
    <col min="14606" max="14606" width="5.5703125" style="6" customWidth="1"/>
    <col min="14607" max="14607" width="15" style="6" customWidth="1"/>
    <col min="14608" max="14608" width="11.42578125" style="6" customWidth="1"/>
    <col min="14609" max="14609" width="12.85546875" style="6" bestFit="1" customWidth="1"/>
    <col min="14610" max="14610" width="14" style="6" bestFit="1" customWidth="1"/>
    <col min="14611" max="14611" width="22.5703125" style="6" bestFit="1" customWidth="1"/>
    <col min="14612" max="14612" width="14.140625" style="6" bestFit="1" customWidth="1"/>
    <col min="14613" max="14613" width="14.140625" style="6" customWidth="1"/>
    <col min="14614" max="14616" width="0" style="6" hidden="1" customWidth="1"/>
    <col min="14617" max="14848" width="8.85546875" style="6"/>
    <col min="14849" max="14849" width="8.140625" style="6" customWidth="1"/>
    <col min="14850" max="14850" width="54.140625" style="6" customWidth="1"/>
    <col min="14851" max="14851" width="13.5703125" style="6" bestFit="1" customWidth="1"/>
    <col min="14852" max="14852" width="10.85546875" style="6" bestFit="1" customWidth="1"/>
    <col min="14853" max="14853" width="10.28515625" style="6" bestFit="1" customWidth="1"/>
    <col min="14854" max="14854" width="11" style="6" bestFit="1" customWidth="1"/>
    <col min="14855" max="14855" width="7.7109375" style="6" bestFit="1" customWidth="1"/>
    <col min="14856" max="14856" width="9.28515625" style="6" bestFit="1" customWidth="1"/>
    <col min="14857" max="14857" width="13.7109375" style="6" bestFit="1" customWidth="1"/>
    <col min="14858" max="14860" width="9" style="6" customWidth="1"/>
    <col min="14861" max="14861" width="10" style="6" customWidth="1"/>
    <col min="14862" max="14862" width="5.5703125" style="6" customWidth="1"/>
    <col min="14863" max="14863" width="15" style="6" customWidth="1"/>
    <col min="14864" max="14864" width="11.42578125" style="6" customWidth="1"/>
    <col min="14865" max="14865" width="12.85546875" style="6" bestFit="1" customWidth="1"/>
    <col min="14866" max="14866" width="14" style="6" bestFit="1" customWidth="1"/>
    <col min="14867" max="14867" width="22.5703125" style="6" bestFit="1" customWidth="1"/>
    <col min="14868" max="14868" width="14.140625" style="6" bestFit="1" customWidth="1"/>
    <col min="14869" max="14869" width="14.140625" style="6" customWidth="1"/>
    <col min="14870" max="14872" width="0" style="6" hidden="1" customWidth="1"/>
    <col min="14873" max="15104" width="8.85546875" style="6"/>
    <col min="15105" max="15105" width="8.140625" style="6" customWidth="1"/>
    <col min="15106" max="15106" width="54.140625" style="6" customWidth="1"/>
    <col min="15107" max="15107" width="13.5703125" style="6" bestFit="1" customWidth="1"/>
    <col min="15108" max="15108" width="10.85546875" style="6" bestFit="1" customWidth="1"/>
    <col min="15109" max="15109" width="10.28515625" style="6" bestFit="1" customWidth="1"/>
    <col min="15110" max="15110" width="11" style="6" bestFit="1" customWidth="1"/>
    <col min="15111" max="15111" width="7.7109375" style="6" bestFit="1" customWidth="1"/>
    <col min="15112" max="15112" width="9.28515625" style="6" bestFit="1" customWidth="1"/>
    <col min="15113" max="15113" width="13.7109375" style="6" bestFit="1" customWidth="1"/>
    <col min="15114" max="15116" width="9" style="6" customWidth="1"/>
    <col min="15117" max="15117" width="10" style="6" customWidth="1"/>
    <col min="15118" max="15118" width="5.5703125" style="6" customWidth="1"/>
    <col min="15119" max="15119" width="15" style="6" customWidth="1"/>
    <col min="15120" max="15120" width="11.42578125" style="6" customWidth="1"/>
    <col min="15121" max="15121" width="12.85546875" style="6" bestFit="1" customWidth="1"/>
    <col min="15122" max="15122" width="14" style="6" bestFit="1" customWidth="1"/>
    <col min="15123" max="15123" width="22.5703125" style="6" bestFit="1" customWidth="1"/>
    <col min="15124" max="15124" width="14.140625" style="6" bestFit="1" customWidth="1"/>
    <col min="15125" max="15125" width="14.140625" style="6" customWidth="1"/>
    <col min="15126" max="15128" width="0" style="6" hidden="1" customWidth="1"/>
    <col min="15129" max="15360" width="8.85546875" style="6"/>
    <col min="15361" max="15361" width="8.140625" style="6" customWidth="1"/>
    <col min="15362" max="15362" width="54.140625" style="6" customWidth="1"/>
    <col min="15363" max="15363" width="13.5703125" style="6" bestFit="1" customWidth="1"/>
    <col min="15364" max="15364" width="10.85546875" style="6" bestFit="1" customWidth="1"/>
    <col min="15365" max="15365" width="10.28515625" style="6" bestFit="1" customWidth="1"/>
    <col min="15366" max="15366" width="11" style="6" bestFit="1" customWidth="1"/>
    <col min="15367" max="15367" width="7.7109375" style="6" bestFit="1" customWidth="1"/>
    <col min="15368" max="15368" width="9.28515625" style="6" bestFit="1" customWidth="1"/>
    <col min="15369" max="15369" width="13.7109375" style="6" bestFit="1" customWidth="1"/>
    <col min="15370" max="15372" width="9" style="6" customWidth="1"/>
    <col min="15373" max="15373" width="10" style="6" customWidth="1"/>
    <col min="15374" max="15374" width="5.5703125" style="6" customWidth="1"/>
    <col min="15375" max="15375" width="15" style="6" customWidth="1"/>
    <col min="15376" max="15376" width="11.42578125" style="6" customWidth="1"/>
    <col min="15377" max="15377" width="12.85546875" style="6" bestFit="1" customWidth="1"/>
    <col min="15378" max="15378" width="14" style="6" bestFit="1" customWidth="1"/>
    <col min="15379" max="15379" width="22.5703125" style="6" bestFit="1" customWidth="1"/>
    <col min="15380" max="15380" width="14.140625" style="6" bestFit="1" customWidth="1"/>
    <col min="15381" max="15381" width="14.140625" style="6" customWidth="1"/>
    <col min="15382" max="15384" width="0" style="6" hidden="1" customWidth="1"/>
    <col min="15385" max="15616" width="8.85546875" style="6"/>
    <col min="15617" max="15617" width="8.140625" style="6" customWidth="1"/>
    <col min="15618" max="15618" width="54.140625" style="6" customWidth="1"/>
    <col min="15619" max="15619" width="13.5703125" style="6" bestFit="1" customWidth="1"/>
    <col min="15620" max="15620" width="10.85546875" style="6" bestFit="1" customWidth="1"/>
    <col min="15621" max="15621" width="10.28515625" style="6" bestFit="1" customWidth="1"/>
    <col min="15622" max="15622" width="11" style="6" bestFit="1" customWidth="1"/>
    <col min="15623" max="15623" width="7.7109375" style="6" bestFit="1" customWidth="1"/>
    <col min="15624" max="15624" width="9.28515625" style="6" bestFit="1" customWidth="1"/>
    <col min="15625" max="15625" width="13.7109375" style="6" bestFit="1" customWidth="1"/>
    <col min="15626" max="15628" width="9" style="6" customWidth="1"/>
    <col min="15629" max="15629" width="10" style="6" customWidth="1"/>
    <col min="15630" max="15630" width="5.5703125" style="6" customWidth="1"/>
    <col min="15631" max="15631" width="15" style="6" customWidth="1"/>
    <col min="15632" max="15632" width="11.42578125" style="6" customWidth="1"/>
    <col min="15633" max="15633" width="12.85546875" style="6" bestFit="1" customWidth="1"/>
    <col min="15634" max="15634" width="14" style="6" bestFit="1" customWidth="1"/>
    <col min="15635" max="15635" width="22.5703125" style="6" bestFit="1" customWidth="1"/>
    <col min="15636" max="15636" width="14.140625" style="6" bestFit="1" customWidth="1"/>
    <col min="15637" max="15637" width="14.140625" style="6" customWidth="1"/>
    <col min="15638" max="15640" width="0" style="6" hidden="1" customWidth="1"/>
    <col min="15641" max="15872" width="8.85546875" style="6"/>
    <col min="15873" max="15873" width="8.140625" style="6" customWidth="1"/>
    <col min="15874" max="15874" width="54.140625" style="6" customWidth="1"/>
    <col min="15875" max="15875" width="13.5703125" style="6" bestFit="1" customWidth="1"/>
    <col min="15876" max="15876" width="10.85546875" style="6" bestFit="1" customWidth="1"/>
    <col min="15877" max="15877" width="10.28515625" style="6" bestFit="1" customWidth="1"/>
    <col min="15878" max="15878" width="11" style="6" bestFit="1" customWidth="1"/>
    <col min="15879" max="15879" width="7.7109375" style="6" bestFit="1" customWidth="1"/>
    <col min="15880" max="15880" width="9.28515625" style="6" bestFit="1" customWidth="1"/>
    <col min="15881" max="15881" width="13.7109375" style="6" bestFit="1" customWidth="1"/>
    <col min="15882" max="15884" width="9" style="6" customWidth="1"/>
    <col min="15885" max="15885" width="10" style="6" customWidth="1"/>
    <col min="15886" max="15886" width="5.5703125" style="6" customWidth="1"/>
    <col min="15887" max="15887" width="15" style="6" customWidth="1"/>
    <col min="15888" max="15888" width="11.42578125" style="6" customWidth="1"/>
    <col min="15889" max="15889" width="12.85546875" style="6" bestFit="1" customWidth="1"/>
    <col min="15890" max="15890" width="14" style="6" bestFit="1" customWidth="1"/>
    <col min="15891" max="15891" width="22.5703125" style="6" bestFit="1" customWidth="1"/>
    <col min="15892" max="15892" width="14.140625" style="6" bestFit="1" customWidth="1"/>
    <col min="15893" max="15893" width="14.140625" style="6" customWidth="1"/>
    <col min="15894" max="15896" width="0" style="6" hidden="1" customWidth="1"/>
    <col min="15897" max="16128" width="8.85546875" style="6"/>
    <col min="16129" max="16129" width="8.140625" style="6" customWidth="1"/>
    <col min="16130" max="16130" width="54.140625" style="6" customWidth="1"/>
    <col min="16131" max="16131" width="13.5703125" style="6" bestFit="1" customWidth="1"/>
    <col min="16132" max="16132" width="10.85546875" style="6" bestFit="1" customWidth="1"/>
    <col min="16133" max="16133" width="10.28515625" style="6" bestFit="1" customWidth="1"/>
    <col min="16134" max="16134" width="11" style="6" bestFit="1" customWidth="1"/>
    <col min="16135" max="16135" width="7.7109375" style="6" bestFit="1" customWidth="1"/>
    <col min="16136" max="16136" width="9.28515625" style="6" bestFit="1" customWidth="1"/>
    <col min="16137" max="16137" width="13.7109375" style="6" bestFit="1" customWidth="1"/>
    <col min="16138" max="16140" width="9" style="6" customWidth="1"/>
    <col min="16141" max="16141" width="10" style="6" customWidth="1"/>
    <col min="16142" max="16142" width="5.5703125" style="6" customWidth="1"/>
    <col min="16143" max="16143" width="15" style="6" customWidth="1"/>
    <col min="16144" max="16144" width="11.42578125" style="6" customWidth="1"/>
    <col min="16145" max="16145" width="12.85546875" style="6" bestFit="1" customWidth="1"/>
    <col min="16146" max="16146" width="14" style="6" bestFit="1" customWidth="1"/>
    <col min="16147" max="16147" width="22.5703125" style="6" bestFit="1" customWidth="1"/>
    <col min="16148" max="16148" width="14.140625" style="6" bestFit="1" customWidth="1"/>
    <col min="16149" max="16149" width="14.140625" style="6" customWidth="1"/>
    <col min="16150" max="16152" width="0" style="6" hidden="1" customWidth="1"/>
    <col min="16153" max="16384" width="8.85546875" style="6"/>
  </cols>
  <sheetData>
    <row r="1" spans="1:24" ht="23.25" customHeight="1">
      <c r="A1" s="527" t="s">
        <v>1162</v>
      </c>
      <c r="B1" s="528"/>
      <c r="C1" s="528"/>
      <c r="D1" s="528"/>
      <c r="E1" s="528"/>
      <c r="F1" s="528"/>
      <c r="G1" s="528"/>
      <c r="H1" s="528"/>
      <c r="I1" s="528"/>
      <c r="J1" s="528"/>
      <c r="K1" s="528"/>
      <c r="L1" s="528"/>
      <c r="M1" s="528"/>
      <c r="N1" s="528"/>
      <c r="O1" s="528"/>
      <c r="P1" s="528"/>
      <c r="Q1" s="528"/>
      <c r="R1" s="528"/>
      <c r="S1" s="528"/>
      <c r="T1" s="529"/>
      <c r="U1" s="243"/>
    </row>
    <row r="2" spans="1:24">
      <c r="A2" s="530"/>
      <c r="B2" s="531"/>
      <c r="C2" s="531"/>
      <c r="D2" s="531"/>
      <c r="E2" s="531"/>
      <c r="F2" s="531"/>
      <c r="G2" s="531"/>
      <c r="H2" s="531"/>
      <c r="I2" s="531"/>
      <c r="J2" s="531"/>
      <c r="K2" s="531"/>
      <c r="L2" s="531"/>
      <c r="M2" s="531"/>
      <c r="N2" s="531"/>
      <c r="O2" s="531"/>
      <c r="P2" s="531"/>
      <c r="Q2" s="531"/>
      <c r="R2" s="531"/>
      <c r="S2" s="531"/>
      <c r="T2" s="532"/>
      <c r="U2" s="244"/>
    </row>
    <row r="3" spans="1:24">
      <c r="A3" s="530"/>
      <c r="B3" s="531"/>
      <c r="C3" s="531"/>
      <c r="D3" s="531"/>
      <c r="E3" s="531"/>
      <c r="F3" s="531"/>
      <c r="G3" s="531"/>
      <c r="H3" s="531"/>
      <c r="I3" s="531"/>
      <c r="J3" s="531"/>
      <c r="K3" s="531"/>
      <c r="L3" s="531"/>
      <c r="M3" s="531"/>
      <c r="N3" s="531"/>
      <c r="O3" s="531"/>
      <c r="P3" s="531"/>
      <c r="Q3" s="531"/>
      <c r="R3" s="531"/>
      <c r="S3" s="531"/>
      <c r="T3" s="532"/>
      <c r="U3" s="243"/>
    </row>
    <row r="4" spans="1:24" ht="12" customHeight="1" thickBot="1">
      <c r="A4" s="533"/>
      <c r="B4" s="534"/>
      <c r="C4" s="534"/>
      <c r="D4" s="534"/>
      <c r="E4" s="534"/>
      <c r="F4" s="534"/>
      <c r="G4" s="534"/>
      <c r="H4" s="534"/>
      <c r="I4" s="534"/>
      <c r="J4" s="534"/>
      <c r="K4" s="534"/>
      <c r="L4" s="534"/>
      <c r="M4" s="534"/>
      <c r="N4" s="534"/>
      <c r="O4" s="534"/>
      <c r="P4" s="534"/>
      <c r="Q4" s="534"/>
      <c r="R4" s="534"/>
      <c r="S4" s="534"/>
      <c r="T4" s="535"/>
      <c r="U4" s="245"/>
    </row>
    <row r="5" spans="1:24" ht="30.75" thickBot="1">
      <c r="A5" s="246" t="s">
        <v>1079</v>
      </c>
      <c r="B5" s="247" t="s">
        <v>1080</v>
      </c>
      <c r="C5" s="247" t="s">
        <v>1081</v>
      </c>
      <c r="D5" s="247" t="s">
        <v>1082</v>
      </c>
      <c r="E5" s="247" t="s">
        <v>877</v>
      </c>
      <c r="F5" s="248" t="s">
        <v>1083</v>
      </c>
      <c r="G5" s="247" t="s">
        <v>1084</v>
      </c>
      <c r="H5" s="247" t="s">
        <v>1085</v>
      </c>
      <c r="I5" s="247" t="s">
        <v>1086</v>
      </c>
      <c r="J5" s="247" t="s">
        <v>1087</v>
      </c>
      <c r="K5" s="247" t="s">
        <v>1088</v>
      </c>
      <c r="L5" s="247" t="s">
        <v>1089</v>
      </c>
      <c r="M5" s="247" t="s">
        <v>1090</v>
      </c>
      <c r="N5" s="247" t="s">
        <v>20</v>
      </c>
      <c r="O5" s="247" t="s">
        <v>1091</v>
      </c>
      <c r="P5" s="247" t="s">
        <v>1092</v>
      </c>
      <c r="Q5" s="247" t="s">
        <v>1093</v>
      </c>
      <c r="R5" s="247" t="s">
        <v>1094</v>
      </c>
      <c r="S5" s="247" t="s">
        <v>1018</v>
      </c>
      <c r="T5" s="249" t="s">
        <v>622</v>
      </c>
      <c r="U5" s="250"/>
      <c r="V5" s="525" t="s">
        <v>1095</v>
      </c>
      <c r="W5" s="526"/>
      <c r="X5" s="526"/>
    </row>
    <row r="6" spans="1:24" ht="16.5" thickBot="1">
      <c r="A6" s="278">
        <v>18</v>
      </c>
      <c r="B6" s="251" t="str">
        <f>PLANILHA!B252</f>
        <v>FONTE / CHAFARIZ ( 18 JATOS )</v>
      </c>
      <c r="C6" s="252"/>
      <c r="D6" s="252"/>
      <c r="E6" s="253"/>
      <c r="F6" s="254"/>
      <c r="G6" s="255"/>
      <c r="H6" s="255"/>
      <c r="I6" s="255"/>
      <c r="J6" s="255"/>
      <c r="K6" s="255"/>
      <c r="L6" s="255"/>
      <c r="M6" s="255"/>
      <c r="N6" s="255"/>
      <c r="O6" s="255"/>
      <c r="P6" s="255"/>
      <c r="Q6" s="255"/>
      <c r="R6" s="255"/>
      <c r="S6" s="285"/>
      <c r="T6" s="256"/>
      <c r="U6" s="257"/>
      <c r="V6" s="276"/>
      <c r="W6" s="277"/>
      <c r="X6" s="277"/>
    </row>
    <row r="7" spans="1:24" ht="16.5" thickBot="1">
      <c r="A7" s="282" t="s">
        <v>868</v>
      </c>
      <c r="B7" s="262" t="str">
        <f>PLANILHA!B253</f>
        <v>SERVIÇOS PRELIMINARES</v>
      </c>
      <c r="C7" s="263"/>
      <c r="D7" s="263"/>
      <c r="E7" s="263"/>
      <c r="F7" s="263"/>
      <c r="G7" s="263"/>
      <c r="H7" s="263"/>
      <c r="I7" s="263"/>
      <c r="J7" s="263"/>
      <c r="K7" s="263"/>
      <c r="L7" s="263"/>
      <c r="M7" s="263"/>
      <c r="N7" s="263"/>
      <c r="O7" s="263"/>
      <c r="P7" s="263"/>
      <c r="Q7" s="263"/>
      <c r="R7" s="263"/>
      <c r="S7" s="286"/>
      <c r="T7" s="264"/>
    </row>
    <row r="8" spans="1:24">
      <c r="A8" s="490" t="s">
        <v>869</v>
      </c>
      <c r="B8" s="492" t="str">
        <f>PLANILHA!C254</f>
        <v>Locação de obra com gabarito de madeira</v>
      </c>
      <c r="C8" s="493"/>
      <c r="D8" s="493"/>
      <c r="E8" s="493"/>
      <c r="F8" s="493"/>
      <c r="G8" s="493"/>
      <c r="H8" s="493"/>
      <c r="I8" s="493"/>
      <c r="J8" s="493"/>
      <c r="K8" s="493"/>
      <c r="L8" s="493"/>
      <c r="M8" s="493"/>
      <c r="N8" s="493"/>
      <c r="O8" s="493"/>
      <c r="P8" s="493"/>
      <c r="Q8" s="493"/>
      <c r="R8" s="494"/>
      <c r="S8" s="501" t="s">
        <v>35</v>
      </c>
      <c r="T8" s="497">
        <f>R9</f>
        <v>128</v>
      </c>
    </row>
    <row r="9" spans="1:24" ht="15.75" thickBot="1">
      <c r="A9" s="499"/>
      <c r="B9" s="106"/>
      <c r="C9" s="265"/>
      <c r="D9" s="82"/>
      <c r="E9" s="82"/>
      <c r="F9" s="268">
        <v>16</v>
      </c>
      <c r="G9" s="82">
        <v>8</v>
      </c>
      <c r="H9" s="82"/>
      <c r="I9" s="82"/>
      <c r="J9" s="82"/>
      <c r="K9" s="82"/>
      <c r="L9" s="82"/>
      <c r="M9" s="82"/>
      <c r="N9" s="103"/>
      <c r="O9" s="82"/>
      <c r="P9" s="89"/>
      <c r="Q9" s="259"/>
      <c r="R9" s="269">
        <f>TRUNC(((G9*F9)),2)</f>
        <v>128</v>
      </c>
      <c r="S9" s="502"/>
      <c r="T9" s="504"/>
    </row>
    <row r="10" spans="1:24">
      <c r="A10" s="490" t="s">
        <v>870</v>
      </c>
      <c r="B10" s="492" t="str">
        <f>PLANILHA!C255</f>
        <v>Tapume Telha Metálica Ondulada em aço galvalume 0,50mm Branca h=2,20m, incl. montagem estr. mad. 8"x8", c/adesivo "DER-ES" 60x60cm a cada 10m, incl. faixas pint. esmalte sint. cores azul c/ h=30cm e rosa
c/ h=10cm (Reaproveitamento 2x)</v>
      </c>
      <c r="C10" s="493"/>
      <c r="D10" s="493"/>
      <c r="E10" s="493"/>
      <c r="F10" s="493"/>
      <c r="G10" s="493"/>
      <c r="H10" s="493"/>
      <c r="I10" s="493"/>
      <c r="J10" s="493"/>
      <c r="K10" s="493"/>
      <c r="L10" s="493"/>
      <c r="M10" s="493"/>
      <c r="N10" s="493"/>
      <c r="O10" s="493"/>
      <c r="P10" s="493"/>
      <c r="Q10" s="493"/>
      <c r="R10" s="494"/>
      <c r="S10" s="501" t="s">
        <v>35</v>
      </c>
      <c r="T10" s="497">
        <f>R11</f>
        <v>64</v>
      </c>
    </row>
    <row r="11" spans="1:24">
      <c r="A11" s="499"/>
      <c r="B11" s="106"/>
      <c r="C11" s="265"/>
      <c r="D11" s="82"/>
      <c r="E11" s="82"/>
      <c r="F11" s="268">
        <v>22</v>
      </c>
      <c r="G11" s="82"/>
      <c r="H11" s="82"/>
      <c r="I11" s="82"/>
      <c r="J11" s="82"/>
      <c r="K11" s="82"/>
      <c r="L11" s="82"/>
      <c r="M11" s="82"/>
      <c r="N11" s="103"/>
      <c r="O11" s="82"/>
      <c r="P11" s="89"/>
      <c r="Q11" s="259"/>
      <c r="R11" s="536">
        <f>SUM(F11:F14)</f>
        <v>64</v>
      </c>
      <c r="S11" s="502"/>
      <c r="T11" s="504"/>
    </row>
    <row r="12" spans="1:24">
      <c r="A12" s="499"/>
      <c r="B12" s="106"/>
      <c r="C12" s="265"/>
      <c r="D12" s="82"/>
      <c r="E12" s="82"/>
      <c r="F12" s="268">
        <v>10</v>
      </c>
      <c r="G12" s="82"/>
      <c r="H12" s="82"/>
      <c r="I12" s="82"/>
      <c r="J12" s="82"/>
      <c r="K12" s="82"/>
      <c r="L12" s="82"/>
      <c r="M12" s="82"/>
      <c r="N12" s="103"/>
      <c r="O12" s="82"/>
      <c r="P12" s="89"/>
      <c r="Q12" s="259"/>
      <c r="R12" s="537"/>
      <c r="S12" s="502"/>
      <c r="T12" s="504"/>
    </row>
    <row r="13" spans="1:24">
      <c r="A13" s="499"/>
      <c r="B13" s="106"/>
      <c r="C13" s="265"/>
      <c r="D13" s="82"/>
      <c r="E13" s="82"/>
      <c r="F13" s="268">
        <v>22</v>
      </c>
      <c r="G13" s="82"/>
      <c r="H13" s="82"/>
      <c r="I13" s="82"/>
      <c r="J13" s="82"/>
      <c r="K13" s="82"/>
      <c r="L13" s="82"/>
      <c r="M13" s="82"/>
      <c r="N13" s="103"/>
      <c r="O13" s="82"/>
      <c r="P13" s="89"/>
      <c r="Q13" s="259"/>
      <c r="R13" s="537"/>
      <c r="S13" s="502"/>
      <c r="T13" s="504"/>
    </row>
    <row r="14" spans="1:24" ht="15.75" thickBot="1">
      <c r="A14" s="499"/>
      <c r="B14" s="106"/>
      <c r="C14" s="265"/>
      <c r="D14" s="82"/>
      <c r="E14" s="82"/>
      <c r="F14" s="268">
        <v>10</v>
      </c>
      <c r="G14" s="82"/>
      <c r="H14" s="82"/>
      <c r="I14" s="82"/>
      <c r="J14" s="82"/>
      <c r="K14" s="82"/>
      <c r="L14" s="82"/>
      <c r="M14" s="82"/>
      <c r="N14" s="103"/>
      <c r="O14" s="82"/>
      <c r="P14" s="89"/>
      <c r="Q14" s="259"/>
      <c r="R14" s="538"/>
      <c r="S14" s="502"/>
      <c r="T14" s="504"/>
    </row>
    <row r="15" spans="1:24" ht="15.75" thickBot="1">
      <c r="A15" s="283" t="s">
        <v>871</v>
      </c>
      <c r="B15" s="262" t="str">
        <f>PLANILHA!B256</f>
        <v>ESCAVAÇÕES E ATERRO</v>
      </c>
      <c r="C15" s="263"/>
      <c r="D15" s="263"/>
      <c r="E15" s="263"/>
      <c r="F15" s="263"/>
      <c r="G15" s="263"/>
      <c r="H15" s="263"/>
      <c r="I15" s="263"/>
      <c r="J15" s="263"/>
      <c r="K15" s="263"/>
      <c r="L15" s="263"/>
      <c r="M15" s="263"/>
      <c r="N15" s="263"/>
      <c r="O15" s="263"/>
      <c r="P15" s="263"/>
      <c r="Q15" s="263"/>
      <c r="R15" s="263"/>
      <c r="S15" s="287"/>
      <c r="T15" s="264"/>
    </row>
    <row r="16" spans="1:24">
      <c r="A16" s="490" t="s">
        <v>873</v>
      </c>
      <c r="B16" s="492" t="str">
        <f>PLANILHA!C257</f>
        <v>Escavação manual em material de 1a. categoria, até 1.50 m de profundidade</v>
      </c>
      <c r="C16" s="493"/>
      <c r="D16" s="493"/>
      <c r="E16" s="493"/>
      <c r="F16" s="493"/>
      <c r="G16" s="493"/>
      <c r="H16" s="493"/>
      <c r="I16" s="493"/>
      <c r="J16" s="493"/>
      <c r="K16" s="493"/>
      <c r="L16" s="493"/>
      <c r="M16" s="493"/>
      <c r="N16" s="493"/>
      <c r="O16" s="493"/>
      <c r="P16" s="493"/>
      <c r="Q16" s="493"/>
      <c r="R16" s="494"/>
      <c r="S16" s="506" t="s">
        <v>64</v>
      </c>
      <c r="T16" s="521">
        <f>TRUNC(((SUM(R17+R18))),2)</f>
        <v>91.11</v>
      </c>
    </row>
    <row r="17" spans="1:20">
      <c r="A17" s="499"/>
      <c r="B17" s="114" t="s">
        <v>1153</v>
      </c>
      <c r="C17" s="265"/>
      <c r="D17" s="82"/>
      <c r="E17" s="82"/>
      <c r="F17" s="268">
        <v>7.8</v>
      </c>
      <c r="G17" s="82">
        <v>5.4</v>
      </c>
      <c r="H17" s="82">
        <v>1</v>
      </c>
      <c r="I17" s="82"/>
      <c r="J17" s="82"/>
      <c r="K17" s="82"/>
      <c r="L17" s="82"/>
      <c r="M17" s="82" t="s">
        <v>1096</v>
      </c>
      <c r="N17" s="103"/>
      <c r="O17" s="82"/>
      <c r="P17" s="89"/>
      <c r="Q17" s="259">
        <v>1.2</v>
      </c>
      <c r="R17" s="269">
        <f>TRUNC(((G17*H17*F17*Q17)),2)</f>
        <v>50.54</v>
      </c>
      <c r="S17" s="507"/>
      <c r="T17" s="522"/>
    </row>
    <row r="18" spans="1:20" ht="15.75" thickBot="1">
      <c r="A18" s="500"/>
      <c r="B18" s="114" t="s">
        <v>875</v>
      </c>
      <c r="C18" s="265"/>
      <c r="D18" s="82"/>
      <c r="E18" s="82"/>
      <c r="F18" s="268">
        <v>4.9000000000000004</v>
      </c>
      <c r="G18" s="82">
        <v>2.2999999999999998</v>
      </c>
      <c r="H18" s="82">
        <v>3</v>
      </c>
      <c r="I18" s="82"/>
      <c r="J18" s="82"/>
      <c r="K18" s="82"/>
      <c r="L18" s="82"/>
      <c r="M18" s="82" t="s">
        <v>1096</v>
      </c>
      <c r="N18" s="103"/>
      <c r="O18" s="82"/>
      <c r="P18" s="89"/>
      <c r="Q18" s="259">
        <v>1.2</v>
      </c>
      <c r="R18" s="269">
        <f>TRUNC(((G18*H18*F18*Q18)),2)</f>
        <v>40.57</v>
      </c>
      <c r="S18" s="520"/>
      <c r="T18" s="523"/>
    </row>
    <row r="19" spans="1:20" ht="15.75" thickBot="1">
      <c r="A19" s="270" t="s">
        <v>874</v>
      </c>
      <c r="B19" s="262" t="str">
        <f>PLANILHA!B258</f>
        <v>ESTRUTURA CASA DE MAQUINAS</v>
      </c>
      <c r="C19" s="263"/>
      <c r="D19" s="263"/>
      <c r="E19" s="263"/>
      <c r="F19" s="263"/>
      <c r="G19" s="263"/>
      <c r="H19" s="263"/>
      <c r="I19" s="263"/>
      <c r="J19" s="263"/>
      <c r="K19" s="263"/>
      <c r="L19" s="263"/>
      <c r="M19" s="263"/>
      <c r="N19" s="263"/>
      <c r="O19" s="263"/>
      <c r="P19" s="263"/>
      <c r="Q19" s="263"/>
      <c r="R19" s="263"/>
      <c r="S19" s="287"/>
      <c r="T19" s="264"/>
    </row>
    <row r="20" spans="1:20">
      <c r="A20" s="490" t="s">
        <v>876</v>
      </c>
      <c r="B20" s="492" t="str">
        <f>PLANILHA!C259</f>
        <v>Fornecimento, dobragem e colocação em fôrma, de armadura CA-50 A média, diâmetro de 6.3 a 10.0 mm</v>
      </c>
      <c r="C20" s="493"/>
      <c r="D20" s="493"/>
      <c r="E20" s="493"/>
      <c r="F20" s="493"/>
      <c r="G20" s="493"/>
      <c r="H20" s="493"/>
      <c r="I20" s="493"/>
      <c r="J20" s="493"/>
      <c r="K20" s="493"/>
      <c r="L20" s="493"/>
      <c r="M20" s="493"/>
      <c r="N20" s="493"/>
      <c r="O20" s="493"/>
      <c r="P20" s="493"/>
      <c r="Q20" s="493"/>
      <c r="R20" s="494"/>
      <c r="S20" s="501" t="s">
        <v>877</v>
      </c>
      <c r="T20" s="497">
        <f>TRUNC(((SUM(R21:R31))),2)</f>
        <v>529.85</v>
      </c>
    </row>
    <row r="21" spans="1:20">
      <c r="A21" s="499"/>
      <c r="B21" s="82" t="s">
        <v>1097</v>
      </c>
      <c r="C21" s="82" t="s">
        <v>1098</v>
      </c>
      <c r="D21" s="258">
        <v>16</v>
      </c>
      <c r="E21" s="258">
        <f t="shared" ref="E21:E31" si="0">F21*Q21</f>
        <v>2.9924499999999998</v>
      </c>
      <c r="F21" s="82">
        <v>4.8499999999999996</v>
      </c>
      <c r="G21" s="82"/>
      <c r="H21" s="97"/>
      <c r="I21" s="279"/>
      <c r="J21" s="279"/>
      <c r="K21" s="279"/>
      <c r="L21" s="82"/>
      <c r="M21" s="82"/>
      <c r="N21" s="82"/>
      <c r="O21" s="88" t="s">
        <v>1099</v>
      </c>
      <c r="P21" s="82"/>
      <c r="Q21" s="82">
        <v>0.61699999999999999</v>
      </c>
      <c r="R21" s="185">
        <f t="shared" ref="R21:R31" si="1">TRUNC(((E21*D21)),2)</f>
        <v>47.87</v>
      </c>
      <c r="S21" s="502"/>
      <c r="T21" s="504"/>
    </row>
    <row r="22" spans="1:20">
      <c r="A22" s="499"/>
      <c r="B22" s="82" t="s">
        <v>1100</v>
      </c>
      <c r="C22" s="82" t="s">
        <v>1098</v>
      </c>
      <c r="D22" s="258">
        <v>32</v>
      </c>
      <c r="E22" s="258">
        <f t="shared" si="0"/>
        <v>1.38825</v>
      </c>
      <c r="F22" s="82">
        <v>2.25</v>
      </c>
      <c r="G22" s="82"/>
      <c r="H22" s="97"/>
      <c r="I22" s="279"/>
      <c r="J22" s="279"/>
      <c r="K22" s="279"/>
      <c r="L22" s="82"/>
      <c r="M22" s="82"/>
      <c r="N22" s="82"/>
      <c r="O22" s="88" t="s">
        <v>1099</v>
      </c>
      <c r="P22" s="82"/>
      <c r="Q22" s="82">
        <v>0.61699999999999999</v>
      </c>
      <c r="R22" s="185">
        <f t="shared" si="1"/>
        <v>44.42</v>
      </c>
      <c r="S22" s="502"/>
      <c r="T22" s="504"/>
    </row>
    <row r="23" spans="1:20">
      <c r="A23" s="499"/>
      <c r="B23" s="82" t="s">
        <v>1101</v>
      </c>
      <c r="C23" s="82" t="s">
        <v>1102</v>
      </c>
      <c r="D23" s="258">
        <v>22</v>
      </c>
      <c r="E23" s="258">
        <f t="shared" si="0"/>
        <v>1.20475</v>
      </c>
      <c r="F23" s="82">
        <v>3.05</v>
      </c>
      <c r="G23" s="82"/>
      <c r="H23" s="97"/>
      <c r="I23" s="279"/>
      <c r="J23" s="279"/>
      <c r="K23" s="279"/>
      <c r="L23" s="82"/>
      <c r="M23" s="82"/>
      <c r="N23" s="82"/>
      <c r="O23" s="88" t="s">
        <v>1099</v>
      </c>
      <c r="P23" s="82"/>
      <c r="Q23" s="82">
        <v>0.39500000000000002</v>
      </c>
      <c r="R23" s="185">
        <f t="shared" si="1"/>
        <v>26.5</v>
      </c>
      <c r="S23" s="502"/>
      <c r="T23" s="504"/>
    </row>
    <row r="24" spans="1:20">
      <c r="A24" s="499"/>
      <c r="B24" s="82" t="s">
        <v>1103</v>
      </c>
      <c r="C24" s="82" t="s">
        <v>1102</v>
      </c>
      <c r="D24" s="258">
        <v>11</v>
      </c>
      <c r="E24" s="258">
        <f t="shared" si="0"/>
        <v>5.6485000000000003</v>
      </c>
      <c r="F24" s="82">
        <v>14.3</v>
      </c>
      <c r="G24" s="82"/>
      <c r="H24" s="97"/>
      <c r="I24" s="279"/>
      <c r="J24" s="279"/>
      <c r="K24" s="279"/>
      <c r="L24" s="82"/>
      <c r="M24" s="82"/>
      <c r="N24" s="82"/>
      <c r="O24" s="88" t="s">
        <v>1099</v>
      </c>
      <c r="P24" s="82"/>
      <c r="Q24" s="82">
        <v>0.39500000000000002</v>
      </c>
      <c r="R24" s="185">
        <f t="shared" si="1"/>
        <v>62.13</v>
      </c>
      <c r="S24" s="502"/>
      <c r="T24" s="504"/>
    </row>
    <row r="25" spans="1:20">
      <c r="A25" s="499"/>
      <c r="B25" s="82" t="s">
        <v>1104</v>
      </c>
      <c r="C25" s="82" t="s">
        <v>1102</v>
      </c>
      <c r="D25" s="258">
        <v>11</v>
      </c>
      <c r="E25" s="258">
        <f t="shared" si="0"/>
        <v>5.2930000000000001</v>
      </c>
      <c r="F25" s="82">
        <v>13.4</v>
      </c>
      <c r="G25" s="82"/>
      <c r="H25" s="97"/>
      <c r="I25" s="279"/>
      <c r="J25" s="279"/>
      <c r="K25" s="279"/>
      <c r="L25" s="82"/>
      <c r="M25" s="82"/>
      <c r="N25" s="82"/>
      <c r="O25" s="88" t="s">
        <v>1099</v>
      </c>
      <c r="P25" s="82"/>
      <c r="Q25" s="82">
        <v>0.39500000000000002</v>
      </c>
      <c r="R25" s="185">
        <f t="shared" si="1"/>
        <v>58.22</v>
      </c>
      <c r="S25" s="502"/>
      <c r="T25" s="504"/>
    </row>
    <row r="26" spans="1:20">
      <c r="A26" s="499"/>
      <c r="B26" s="82" t="s">
        <v>1105</v>
      </c>
      <c r="C26" s="82" t="s">
        <v>1102</v>
      </c>
      <c r="D26" s="258">
        <v>16</v>
      </c>
      <c r="E26" s="258">
        <f t="shared" si="0"/>
        <v>0.61224999999999996</v>
      </c>
      <c r="F26" s="82">
        <v>1.55</v>
      </c>
      <c r="G26" s="82"/>
      <c r="H26" s="97"/>
      <c r="I26" s="279"/>
      <c r="J26" s="279"/>
      <c r="K26" s="279"/>
      <c r="L26" s="82"/>
      <c r="M26" s="82"/>
      <c r="N26" s="82"/>
      <c r="O26" s="88" t="s">
        <v>1099</v>
      </c>
      <c r="P26" s="82"/>
      <c r="Q26" s="82">
        <v>0.39500000000000002</v>
      </c>
      <c r="R26" s="185">
        <f t="shared" si="1"/>
        <v>9.7899999999999991</v>
      </c>
      <c r="S26" s="502"/>
      <c r="T26" s="504"/>
    </row>
    <row r="27" spans="1:20">
      <c r="A27" s="499"/>
      <c r="B27" s="82" t="s">
        <v>1106</v>
      </c>
      <c r="C27" s="82" t="s">
        <v>1102</v>
      </c>
      <c r="D27" s="258">
        <v>150</v>
      </c>
      <c r="E27" s="258">
        <f t="shared" si="0"/>
        <v>0.94799999999999995</v>
      </c>
      <c r="F27" s="82">
        <v>2.4</v>
      </c>
      <c r="G27" s="82"/>
      <c r="H27" s="97"/>
      <c r="I27" s="279"/>
      <c r="J27" s="279"/>
      <c r="K27" s="279"/>
      <c r="L27" s="82"/>
      <c r="M27" s="82"/>
      <c r="N27" s="82"/>
      <c r="O27" s="88" t="s">
        <v>1099</v>
      </c>
      <c r="P27" s="82"/>
      <c r="Q27" s="82">
        <v>0.39500000000000002</v>
      </c>
      <c r="R27" s="185">
        <f t="shared" si="1"/>
        <v>142.19999999999999</v>
      </c>
      <c r="S27" s="502"/>
      <c r="T27" s="504"/>
    </row>
    <row r="28" spans="1:20">
      <c r="A28" s="499"/>
      <c r="B28" s="82" t="s">
        <v>1107</v>
      </c>
      <c r="C28" s="82" t="s">
        <v>1102</v>
      </c>
      <c r="D28" s="258">
        <v>32</v>
      </c>
      <c r="E28" s="258">
        <f t="shared" si="0"/>
        <v>0.59250000000000003</v>
      </c>
      <c r="F28" s="82">
        <v>1.5</v>
      </c>
      <c r="G28" s="82"/>
      <c r="H28" s="97"/>
      <c r="I28" s="279"/>
      <c r="J28" s="279"/>
      <c r="K28" s="279"/>
      <c r="L28" s="82"/>
      <c r="M28" s="82"/>
      <c r="N28" s="82"/>
      <c r="O28" s="88" t="s">
        <v>1099</v>
      </c>
      <c r="P28" s="82"/>
      <c r="Q28" s="82">
        <v>0.39500000000000002</v>
      </c>
      <c r="R28" s="185">
        <f t="shared" si="1"/>
        <v>18.96</v>
      </c>
      <c r="S28" s="502"/>
      <c r="T28" s="504"/>
    </row>
    <row r="29" spans="1:20">
      <c r="A29" s="499"/>
      <c r="B29" s="82" t="s">
        <v>1108</v>
      </c>
      <c r="C29" s="82" t="s">
        <v>1102</v>
      </c>
      <c r="D29" s="258">
        <v>32</v>
      </c>
      <c r="E29" s="258">
        <f t="shared" si="0"/>
        <v>0.71099999999999997</v>
      </c>
      <c r="F29" s="82">
        <v>1.8</v>
      </c>
      <c r="G29" s="82"/>
      <c r="H29" s="97"/>
      <c r="I29" s="279"/>
      <c r="J29" s="279"/>
      <c r="K29" s="279"/>
      <c r="L29" s="82"/>
      <c r="M29" s="82"/>
      <c r="N29" s="82"/>
      <c r="O29" s="88" t="s">
        <v>1099</v>
      </c>
      <c r="P29" s="82"/>
      <c r="Q29" s="82">
        <v>0.39500000000000002</v>
      </c>
      <c r="R29" s="185">
        <f t="shared" si="1"/>
        <v>22.75</v>
      </c>
      <c r="S29" s="502"/>
      <c r="T29" s="504"/>
    </row>
    <row r="30" spans="1:20">
      <c r="A30" s="499"/>
      <c r="B30" s="82" t="s">
        <v>1109</v>
      </c>
      <c r="C30" s="82" t="s">
        <v>1102</v>
      </c>
      <c r="D30" s="258">
        <v>16</v>
      </c>
      <c r="E30" s="258">
        <f t="shared" si="0"/>
        <v>2.7057500000000001</v>
      </c>
      <c r="F30" s="82">
        <v>6.85</v>
      </c>
      <c r="G30" s="82"/>
      <c r="H30" s="97"/>
      <c r="I30" s="279"/>
      <c r="J30" s="279"/>
      <c r="K30" s="279"/>
      <c r="L30" s="82"/>
      <c r="M30" s="82"/>
      <c r="N30" s="82"/>
      <c r="O30" s="88" t="s">
        <v>1099</v>
      </c>
      <c r="P30" s="82"/>
      <c r="Q30" s="82">
        <v>0.39500000000000002</v>
      </c>
      <c r="R30" s="185">
        <f t="shared" si="1"/>
        <v>43.29</v>
      </c>
      <c r="S30" s="502"/>
      <c r="T30" s="504"/>
    </row>
    <row r="31" spans="1:20" ht="15.75" thickBot="1">
      <c r="A31" s="499"/>
      <c r="B31" s="82" t="s">
        <v>1110</v>
      </c>
      <c r="C31" s="82" t="s">
        <v>1102</v>
      </c>
      <c r="D31" s="258">
        <v>32</v>
      </c>
      <c r="E31" s="258">
        <f t="shared" si="0"/>
        <v>1.67875</v>
      </c>
      <c r="F31" s="82">
        <v>4.25</v>
      </c>
      <c r="G31" s="82"/>
      <c r="H31" s="97"/>
      <c r="I31" s="279"/>
      <c r="J31" s="279"/>
      <c r="K31" s="279"/>
      <c r="L31" s="82"/>
      <c r="M31" s="82"/>
      <c r="N31" s="82"/>
      <c r="O31" s="88" t="s">
        <v>1099</v>
      </c>
      <c r="P31" s="82"/>
      <c r="Q31" s="82">
        <v>0.39500000000000002</v>
      </c>
      <c r="R31" s="185">
        <f t="shared" si="1"/>
        <v>53.72</v>
      </c>
      <c r="S31" s="502"/>
      <c r="T31" s="504"/>
    </row>
    <row r="32" spans="1:20">
      <c r="A32" s="490" t="s">
        <v>878</v>
      </c>
      <c r="B32" s="492" t="str">
        <f>PLANILHA!C260</f>
        <v>Fôrma em chapa de madeira compensada plastificada 12mm para estrutura em geral, 5 reaproveitamentos, reforçada com sarrafos de madeira 2.5x10cm (incl material, corte, montagem, escoras em eucalipto e desforma)</v>
      </c>
      <c r="C32" s="493"/>
      <c r="D32" s="493"/>
      <c r="E32" s="493"/>
      <c r="F32" s="493"/>
      <c r="G32" s="493"/>
      <c r="H32" s="493"/>
      <c r="I32" s="493"/>
      <c r="J32" s="493"/>
      <c r="K32" s="493"/>
      <c r="L32" s="493"/>
      <c r="M32" s="493"/>
      <c r="N32" s="493"/>
      <c r="O32" s="493"/>
      <c r="P32" s="493"/>
      <c r="Q32" s="493"/>
      <c r="R32" s="494"/>
      <c r="S32" s="501" t="s">
        <v>35</v>
      </c>
      <c r="T32" s="497">
        <f>TRUNC(((SUM(R33:R53))),2)</f>
        <v>101.3</v>
      </c>
    </row>
    <row r="33" spans="1:20">
      <c r="A33" s="499"/>
      <c r="B33" s="539" t="s">
        <v>1111</v>
      </c>
      <c r="C33" s="271"/>
      <c r="D33" s="82"/>
      <c r="E33" s="82"/>
      <c r="F33" s="185">
        <v>4.9000000000000004</v>
      </c>
      <c r="G33" s="185"/>
      <c r="H33" s="185">
        <v>2.6</v>
      </c>
      <c r="I33" s="82"/>
      <c r="J33" s="82"/>
      <c r="K33" s="82"/>
      <c r="L33" s="82"/>
      <c r="M33" s="82"/>
      <c r="N33" s="82"/>
      <c r="O33" s="82"/>
      <c r="P33" s="82"/>
      <c r="Q33" s="82"/>
      <c r="R33" s="261">
        <f t="shared" ref="R33:R52" si="2">TRUNC(((F33*H33)),2)</f>
        <v>12.7</v>
      </c>
      <c r="S33" s="502"/>
      <c r="T33" s="504"/>
    </row>
    <row r="34" spans="1:20">
      <c r="A34" s="499"/>
      <c r="B34" s="539"/>
      <c r="C34" s="271"/>
      <c r="D34" s="82"/>
      <c r="E34" s="82"/>
      <c r="F34" s="261">
        <v>4.3</v>
      </c>
      <c r="G34" s="185"/>
      <c r="H34" s="185">
        <v>2.6</v>
      </c>
      <c r="I34" s="82"/>
      <c r="J34" s="82"/>
      <c r="K34" s="82"/>
      <c r="L34" s="82"/>
      <c r="M34" s="82"/>
      <c r="N34" s="82"/>
      <c r="O34" s="82"/>
      <c r="P34" s="82"/>
      <c r="Q34" s="82"/>
      <c r="R34" s="261">
        <f t="shared" si="2"/>
        <v>11.2</v>
      </c>
      <c r="S34" s="502"/>
      <c r="T34" s="504"/>
    </row>
    <row r="35" spans="1:20">
      <c r="A35" s="499"/>
      <c r="B35" s="539"/>
      <c r="C35" s="271"/>
      <c r="D35" s="82"/>
      <c r="E35" s="82"/>
      <c r="F35" s="185">
        <v>4.9000000000000004</v>
      </c>
      <c r="G35" s="185"/>
      <c r="H35" s="185">
        <v>2.6</v>
      </c>
      <c r="I35" s="82"/>
      <c r="J35" s="82"/>
      <c r="K35" s="82"/>
      <c r="L35" s="82"/>
      <c r="M35" s="82"/>
      <c r="N35" s="82"/>
      <c r="O35" s="82"/>
      <c r="P35" s="82"/>
      <c r="Q35" s="82"/>
      <c r="R35" s="261">
        <f t="shared" si="2"/>
        <v>12.7</v>
      </c>
      <c r="S35" s="502"/>
      <c r="T35" s="504"/>
    </row>
    <row r="36" spans="1:20">
      <c r="A36" s="499"/>
      <c r="B36" s="539"/>
      <c r="C36" s="271"/>
      <c r="D36" s="82"/>
      <c r="E36" s="82"/>
      <c r="F36" s="261">
        <v>4.3</v>
      </c>
      <c r="G36" s="185"/>
      <c r="H36" s="185">
        <v>2.6</v>
      </c>
      <c r="I36" s="82"/>
      <c r="J36" s="82"/>
      <c r="K36" s="82"/>
      <c r="L36" s="82"/>
      <c r="M36" s="82"/>
      <c r="N36" s="82"/>
      <c r="O36" s="82"/>
      <c r="P36" s="82"/>
      <c r="Q36" s="82"/>
      <c r="R36" s="261">
        <f t="shared" si="2"/>
        <v>11.2</v>
      </c>
      <c r="S36" s="502"/>
      <c r="T36" s="504"/>
    </row>
    <row r="37" spans="1:20">
      <c r="A37" s="499"/>
      <c r="B37" s="539" t="s">
        <v>1112</v>
      </c>
      <c r="C37" s="271"/>
      <c r="D37" s="82"/>
      <c r="E37" s="82"/>
      <c r="F37" s="261">
        <v>1.5</v>
      </c>
      <c r="G37" s="185"/>
      <c r="H37" s="185">
        <v>2.1</v>
      </c>
      <c r="I37" s="82"/>
      <c r="J37" s="82"/>
      <c r="K37" s="82"/>
      <c r="L37" s="82"/>
      <c r="M37" s="82"/>
      <c r="N37" s="82"/>
      <c r="O37" s="82"/>
      <c r="P37" s="82"/>
      <c r="Q37" s="82"/>
      <c r="R37" s="261">
        <f t="shared" si="2"/>
        <v>3.2</v>
      </c>
      <c r="S37" s="502"/>
      <c r="T37" s="504"/>
    </row>
    <row r="38" spans="1:20">
      <c r="A38" s="499"/>
      <c r="B38" s="539"/>
      <c r="C38" s="271"/>
      <c r="D38" s="82"/>
      <c r="E38" s="82"/>
      <c r="F38" s="261">
        <v>2</v>
      </c>
      <c r="G38" s="185"/>
      <c r="H38" s="185">
        <f>H37</f>
        <v>2.1</v>
      </c>
      <c r="I38" s="82"/>
      <c r="J38" s="82"/>
      <c r="K38" s="82"/>
      <c r="L38" s="82"/>
      <c r="M38" s="82"/>
      <c r="N38" s="82"/>
      <c r="O38" s="82"/>
      <c r="P38" s="82"/>
      <c r="Q38" s="82"/>
      <c r="R38" s="261">
        <f t="shared" si="2"/>
        <v>4.2</v>
      </c>
      <c r="S38" s="502"/>
      <c r="T38" s="504"/>
    </row>
    <row r="39" spans="1:20">
      <c r="A39" s="499"/>
      <c r="B39" s="539"/>
      <c r="C39" s="271"/>
      <c r="D39" s="82"/>
      <c r="E39" s="82"/>
      <c r="F39" s="261">
        <v>1.5</v>
      </c>
      <c r="G39" s="185"/>
      <c r="H39" s="185">
        <f>H38</f>
        <v>2.1</v>
      </c>
      <c r="I39" s="82"/>
      <c r="J39" s="82"/>
      <c r="K39" s="82"/>
      <c r="L39" s="82"/>
      <c r="M39" s="82"/>
      <c r="N39" s="82"/>
      <c r="O39" s="82"/>
      <c r="P39" s="82"/>
      <c r="Q39" s="82"/>
      <c r="R39" s="261">
        <f t="shared" si="2"/>
        <v>3.2</v>
      </c>
      <c r="S39" s="502"/>
      <c r="T39" s="504"/>
    </row>
    <row r="40" spans="1:20">
      <c r="A40" s="499"/>
      <c r="B40" s="539"/>
      <c r="C40" s="271"/>
      <c r="D40" s="82"/>
      <c r="E40" s="82"/>
      <c r="F40" s="261">
        <v>2</v>
      </c>
      <c r="G40" s="185"/>
      <c r="H40" s="185">
        <f>H39</f>
        <v>2.1</v>
      </c>
      <c r="I40" s="82"/>
      <c r="J40" s="82"/>
      <c r="K40" s="82"/>
      <c r="L40" s="82"/>
      <c r="M40" s="82"/>
      <c r="N40" s="82"/>
      <c r="O40" s="82"/>
      <c r="P40" s="82"/>
      <c r="Q40" s="82"/>
      <c r="R40" s="261">
        <f t="shared" si="2"/>
        <v>4.2</v>
      </c>
      <c r="S40" s="502"/>
      <c r="T40" s="504"/>
    </row>
    <row r="41" spans="1:20">
      <c r="A41" s="499"/>
      <c r="B41" s="539" t="s">
        <v>1112</v>
      </c>
      <c r="C41" s="82"/>
      <c r="D41" s="82"/>
      <c r="E41" s="82"/>
      <c r="F41" s="261">
        <v>2</v>
      </c>
      <c r="G41" s="185"/>
      <c r="H41" s="185">
        <v>2.1</v>
      </c>
      <c r="I41" s="82"/>
      <c r="J41" s="82"/>
      <c r="K41" s="82"/>
      <c r="L41" s="82"/>
      <c r="M41" s="82"/>
      <c r="N41" s="82"/>
      <c r="O41" s="82"/>
      <c r="P41" s="82"/>
      <c r="Q41" s="82"/>
      <c r="R41" s="261">
        <f t="shared" si="2"/>
        <v>4.2</v>
      </c>
      <c r="S41" s="502"/>
      <c r="T41" s="504"/>
    </row>
    <row r="42" spans="1:20">
      <c r="A42" s="499"/>
      <c r="B42" s="539"/>
      <c r="C42" s="82"/>
      <c r="D42" s="82"/>
      <c r="E42" s="82"/>
      <c r="F42" s="261">
        <v>0.8</v>
      </c>
      <c r="G42" s="185"/>
      <c r="H42" s="185">
        <v>2.1</v>
      </c>
      <c r="I42" s="82"/>
      <c r="J42" s="82"/>
      <c r="K42" s="82"/>
      <c r="L42" s="82"/>
      <c r="M42" s="82"/>
      <c r="N42" s="82"/>
      <c r="O42" s="82"/>
      <c r="P42" s="82"/>
      <c r="Q42" s="82"/>
      <c r="R42" s="261">
        <f t="shared" si="2"/>
        <v>1.7</v>
      </c>
      <c r="S42" s="502"/>
      <c r="T42" s="504"/>
    </row>
    <row r="43" spans="1:20">
      <c r="A43" s="499"/>
      <c r="B43" s="539"/>
      <c r="C43" s="82"/>
      <c r="D43" s="82"/>
      <c r="E43" s="82"/>
      <c r="F43" s="261">
        <v>2</v>
      </c>
      <c r="G43" s="185"/>
      <c r="H43" s="185">
        <v>1.3</v>
      </c>
      <c r="I43" s="82"/>
      <c r="J43" s="82"/>
      <c r="K43" s="82"/>
      <c r="L43" s="82"/>
      <c r="M43" s="82"/>
      <c r="N43" s="82"/>
      <c r="O43" s="82"/>
      <c r="P43" s="82"/>
      <c r="Q43" s="82"/>
      <c r="R43" s="261">
        <f t="shared" si="2"/>
        <v>2.6</v>
      </c>
      <c r="S43" s="502"/>
      <c r="T43" s="504"/>
    </row>
    <row r="44" spans="1:20">
      <c r="A44" s="499"/>
      <c r="B44" s="539"/>
      <c r="C44" s="82"/>
      <c r="D44" s="82"/>
      <c r="E44" s="82"/>
      <c r="F44" s="261">
        <v>0.8</v>
      </c>
      <c r="G44" s="185"/>
      <c r="H44" s="185">
        <v>2.1</v>
      </c>
      <c r="I44" s="82"/>
      <c r="J44" s="82"/>
      <c r="K44" s="82"/>
      <c r="L44" s="82"/>
      <c r="M44" s="82"/>
      <c r="N44" s="82"/>
      <c r="O44" s="82"/>
      <c r="P44" s="82"/>
      <c r="Q44" s="82"/>
      <c r="R44" s="261">
        <f t="shared" si="2"/>
        <v>1.7</v>
      </c>
      <c r="S44" s="502"/>
      <c r="T44" s="504"/>
    </row>
    <row r="45" spans="1:20">
      <c r="A45" s="499"/>
      <c r="B45" s="539" t="s">
        <v>1112</v>
      </c>
      <c r="C45" s="82"/>
      <c r="D45" s="82"/>
      <c r="E45" s="82"/>
      <c r="F45" s="261">
        <v>2</v>
      </c>
      <c r="G45" s="185"/>
      <c r="H45" s="185">
        <v>2.1</v>
      </c>
      <c r="I45" s="82"/>
      <c r="J45" s="82"/>
      <c r="K45" s="82"/>
      <c r="L45" s="82"/>
      <c r="M45" s="82"/>
      <c r="N45" s="82"/>
      <c r="O45" s="82"/>
      <c r="P45" s="82"/>
      <c r="Q45" s="82"/>
      <c r="R45" s="261">
        <f t="shared" si="2"/>
        <v>4.2</v>
      </c>
      <c r="S45" s="502"/>
      <c r="T45" s="504"/>
    </row>
    <row r="46" spans="1:20">
      <c r="A46" s="499"/>
      <c r="B46" s="539"/>
      <c r="C46" s="82"/>
      <c r="D46" s="82"/>
      <c r="E46" s="82"/>
      <c r="F46" s="261">
        <v>2.2000000000000002</v>
      </c>
      <c r="G46" s="185"/>
      <c r="H46" s="185">
        <v>2.1</v>
      </c>
      <c r="I46" s="82"/>
      <c r="J46" s="82"/>
      <c r="K46" s="82"/>
      <c r="L46" s="82"/>
      <c r="M46" s="82"/>
      <c r="N46" s="82"/>
      <c r="O46" s="82"/>
      <c r="P46" s="82"/>
      <c r="Q46" s="82"/>
      <c r="R46" s="261">
        <f t="shared" si="2"/>
        <v>4.5999999999999996</v>
      </c>
      <c r="S46" s="502"/>
      <c r="T46" s="504"/>
    </row>
    <row r="47" spans="1:20">
      <c r="A47" s="499"/>
      <c r="B47" s="539"/>
      <c r="C47" s="82"/>
      <c r="D47" s="82"/>
      <c r="E47" s="82"/>
      <c r="F47" s="261">
        <v>2</v>
      </c>
      <c r="G47" s="185"/>
      <c r="H47" s="185">
        <v>1.3</v>
      </c>
      <c r="I47" s="82"/>
      <c r="J47" s="82"/>
      <c r="K47" s="82"/>
      <c r="L47" s="82"/>
      <c r="M47" s="82"/>
      <c r="N47" s="82"/>
      <c r="O47" s="82"/>
      <c r="P47" s="82"/>
      <c r="Q47" s="82"/>
      <c r="R47" s="261">
        <f t="shared" si="2"/>
        <v>2.6</v>
      </c>
      <c r="S47" s="502"/>
      <c r="T47" s="504"/>
    </row>
    <row r="48" spans="1:20">
      <c r="A48" s="499"/>
      <c r="B48" s="539"/>
      <c r="C48" s="82"/>
      <c r="D48" s="82"/>
      <c r="E48" s="82"/>
      <c r="F48" s="261">
        <v>2.2000000000000002</v>
      </c>
      <c r="G48" s="185"/>
      <c r="H48" s="185">
        <v>2.1</v>
      </c>
      <c r="I48" s="82"/>
      <c r="J48" s="82"/>
      <c r="K48" s="82"/>
      <c r="L48" s="82"/>
      <c r="M48" s="82"/>
      <c r="N48" s="82"/>
      <c r="O48" s="82"/>
      <c r="P48" s="82"/>
      <c r="Q48" s="82"/>
      <c r="R48" s="261">
        <f t="shared" si="2"/>
        <v>4.5999999999999996</v>
      </c>
      <c r="S48" s="502"/>
      <c r="T48" s="504"/>
    </row>
    <row r="49" spans="1:20">
      <c r="A49" s="499"/>
      <c r="B49" s="272" t="s">
        <v>1113</v>
      </c>
      <c r="C49" s="82"/>
      <c r="D49" s="82">
        <v>2</v>
      </c>
      <c r="E49" s="82"/>
      <c r="F49" s="261">
        <v>0.5</v>
      </c>
      <c r="G49" s="185"/>
      <c r="H49" s="185">
        <v>0.5</v>
      </c>
      <c r="I49" s="82"/>
      <c r="J49" s="82"/>
      <c r="K49" s="82"/>
      <c r="L49" s="82"/>
      <c r="M49" s="82"/>
      <c r="N49" s="82"/>
      <c r="O49" s="82"/>
      <c r="P49" s="82"/>
      <c r="Q49" s="82"/>
      <c r="R49" s="261">
        <f t="shared" si="2"/>
        <v>0.3</v>
      </c>
      <c r="S49" s="502"/>
      <c r="T49" s="504"/>
    </row>
    <row r="50" spans="1:20">
      <c r="A50" s="499"/>
      <c r="B50" s="272" t="s">
        <v>1114</v>
      </c>
      <c r="C50" s="82"/>
      <c r="D50" s="82">
        <v>2</v>
      </c>
      <c r="E50" s="82"/>
      <c r="F50" s="261">
        <v>0.5</v>
      </c>
      <c r="G50" s="185"/>
      <c r="H50" s="185">
        <v>0.5</v>
      </c>
      <c r="I50" s="82"/>
      <c r="J50" s="82"/>
      <c r="K50" s="82"/>
      <c r="L50" s="82"/>
      <c r="M50" s="82"/>
      <c r="N50" s="82"/>
      <c r="O50" s="82"/>
      <c r="P50" s="82"/>
      <c r="Q50" s="82"/>
      <c r="R50" s="261">
        <f t="shared" si="2"/>
        <v>0.3</v>
      </c>
      <c r="S50" s="502"/>
      <c r="T50" s="504"/>
    </row>
    <row r="51" spans="1:20">
      <c r="A51" s="499"/>
      <c r="B51" s="272" t="s">
        <v>1115</v>
      </c>
      <c r="C51" s="82"/>
      <c r="D51" s="82">
        <v>2</v>
      </c>
      <c r="E51" s="82"/>
      <c r="F51" s="261">
        <v>0.5</v>
      </c>
      <c r="G51" s="185"/>
      <c r="H51" s="185">
        <v>0.5</v>
      </c>
      <c r="I51" s="82"/>
      <c r="J51" s="82"/>
      <c r="K51" s="82"/>
      <c r="L51" s="82"/>
      <c r="M51" s="82"/>
      <c r="N51" s="82"/>
      <c r="O51" s="82"/>
      <c r="P51" s="82"/>
      <c r="Q51" s="82"/>
      <c r="R51" s="261">
        <f t="shared" si="2"/>
        <v>0.3</v>
      </c>
      <c r="S51" s="502"/>
      <c r="T51" s="504"/>
    </row>
    <row r="52" spans="1:20">
      <c r="A52" s="499"/>
      <c r="B52" s="272" t="s">
        <v>1116</v>
      </c>
      <c r="C52" s="82"/>
      <c r="D52" s="82">
        <v>2</v>
      </c>
      <c r="E52" s="82"/>
      <c r="F52" s="261">
        <v>0.5</v>
      </c>
      <c r="G52" s="185"/>
      <c r="H52" s="185">
        <v>0.5</v>
      </c>
      <c r="I52" s="82"/>
      <c r="J52" s="82"/>
      <c r="K52" s="82"/>
      <c r="L52" s="82"/>
      <c r="M52" s="82"/>
      <c r="N52" s="82"/>
      <c r="O52" s="82"/>
      <c r="P52" s="82"/>
      <c r="Q52" s="82"/>
      <c r="R52" s="261">
        <f t="shared" si="2"/>
        <v>0.3</v>
      </c>
      <c r="S52" s="502"/>
      <c r="T52" s="504"/>
    </row>
    <row r="53" spans="1:20" ht="15.75" thickBot="1">
      <c r="A53" s="499"/>
      <c r="B53" s="272" t="s">
        <v>1117</v>
      </c>
      <c r="C53" s="82"/>
      <c r="D53" s="82"/>
      <c r="E53" s="82"/>
      <c r="F53" s="260">
        <v>4.9000000000000004</v>
      </c>
      <c r="G53" s="82">
        <v>2.2999999999999998</v>
      </c>
      <c r="H53" s="82"/>
      <c r="I53" s="82"/>
      <c r="J53" s="82"/>
      <c r="K53" s="82"/>
      <c r="L53" s="82"/>
      <c r="M53" s="82"/>
      <c r="N53" s="82"/>
      <c r="O53" s="82"/>
      <c r="P53" s="82"/>
      <c r="Q53" s="82"/>
      <c r="R53" s="261">
        <f>TRUNC(((F53*G53)),2)</f>
        <v>11.3</v>
      </c>
      <c r="S53" s="502"/>
      <c r="T53" s="504"/>
    </row>
    <row r="54" spans="1:20">
      <c r="A54" s="490" t="s">
        <v>880</v>
      </c>
      <c r="B54" s="492" t="str">
        <f>PLANILHA!C261</f>
        <v>Fornecimento, preparo e aplicação de concreto Fck = 30 MPa (com brita 1 e 2) - (5% de perdas já incluído no custo)</v>
      </c>
      <c r="C54" s="493"/>
      <c r="D54" s="493"/>
      <c r="E54" s="493"/>
      <c r="F54" s="493"/>
      <c r="G54" s="493"/>
      <c r="H54" s="493"/>
      <c r="I54" s="493"/>
      <c r="J54" s="493"/>
      <c r="K54" s="493"/>
      <c r="L54" s="493"/>
      <c r="M54" s="493"/>
      <c r="N54" s="493"/>
      <c r="O54" s="493"/>
      <c r="P54" s="493"/>
      <c r="Q54" s="493"/>
      <c r="R54" s="494"/>
      <c r="S54" s="501" t="s">
        <v>64</v>
      </c>
      <c r="T54" s="497">
        <f>TRUNC(((SUM(R55:R66))),2)</f>
        <v>10.73</v>
      </c>
    </row>
    <row r="55" spans="1:20">
      <c r="A55" s="499"/>
      <c r="B55" s="82" t="s">
        <v>178</v>
      </c>
      <c r="C55" s="82"/>
      <c r="D55" s="82"/>
      <c r="E55" s="82"/>
      <c r="F55" s="260">
        <v>4.9000000000000004</v>
      </c>
      <c r="G55" s="82">
        <v>2.2999999999999998</v>
      </c>
      <c r="H55" s="97"/>
      <c r="I55" s="82">
        <v>0.15</v>
      </c>
      <c r="J55" s="82"/>
      <c r="K55" s="82"/>
      <c r="L55" s="82"/>
      <c r="M55" s="82"/>
      <c r="N55" s="82"/>
      <c r="O55" s="82"/>
      <c r="P55" s="82"/>
      <c r="Q55" s="82"/>
      <c r="R55" s="185">
        <f>TRUNC(((G55*I55*F55)),2)</f>
        <v>1.69</v>
      </c>
      <c r="S55" s="502"/>
      <c r="T55" s="504"/>
    </row>
    <row r="56" spans="1:20">
      <c r="A56" s="499"/>
      <c r="B56" s="272" t="s">
        <v>129</v>
      </c>
      <c r="C56" s="82"/>
      <c r="D56" s="82"/>
      <c r="E56" s="82"/>
      <c r="F56" s="260">
        <v>4.9000000000000004</v>
      </c>
      <c r="G56" s="82">
        <v>2.2999999999999998</v>
      </c>
      <c r="H56" s="97"/>
      <c r="I56" s="82">
        <v>0.15</v>
      </c>
      <c r="J56" s="82"/>
      <c r="K56" s="82"/>
      <c r="L56" s="82"/>
      <c r="M56" s="82"/>
      <c r="N56" s="82"/>
      <c r="O56" s="82"/>
      <c r="P56" s="82"/>
      <c r="Q56" s="82"/>
      <c r="R56" s="185">
        <f>TRUNC(((G56*I56*F56)),2)</f>
        <v>1.69</v>
      </c>
      <c r="S56" s="502"/>
      <c r="T56" s="504"/>
    </row>
    <row r="57" spans="1:20">
      <c r="A57" s="499"/>
      <c r="B57" s="272" t="s">
        <v>1118</v>
      </c>
      <c r="C57" s="82"/>
      <c r="D57" s="82"/>
      <c r="E57" s="82"/>
      <c r="F57" s="260">
        <v>2.2999999999999998</v>
      </c>
      <c r="G57" s="82"/>
      <c r="H57" s="97">
        <v>2.6</v>
      </c>
      <c r="I57" s="82">
        <v>0.15</v>
      </c>
      <c r="J57" s="82"/>
      <c r="K57" s="82"/>
      <c r="L57" s="82"/>
      <c r="M57" s="82"/>
      <c r="N57" s="82"/>
      <c r="O57" s="82"/>
      <c r="P57" s="82"/>
      <c r="Q57" s="82"/>
      <c r="R57" s="185">
        <f t="shared" ref="R57:R62" si="3">TRUNC(((H57*I57*F57)),2)</f>
        <v>0.89</v>
      </c>
      <c r="S57" s="502"/>
      <c r="T57" s="504"/>
    </row>
    <row r="58" spans="1:20">
      <c r="A58" s="499"/>
      <c r="B58" s="272" t="s">
        <v>1119</v>
      </c>
      <c r="C58" s="82"/>
      <c r="D58" s="82"/>
      <c r="E58" s="82"/>
      <c r="F58" s="260">
        <v>4.9000000000000004</v>
      </c>
      <c r="G58" s="82"/>
      <c r="H58" s="97">
        <v>2.6</v>
      </c>
      <c r="I58" s="82">
        <v>0.15</v>
      </c>
      <c r="J58" s="82"/>
      <c r="K58" s="82"/>
      <c r="L58" s="82"/>
      <c r="M58" s="82"/>
      <c r="N58" s="82"/>
      <c r="O58" s="82"/>
      <c r="P58" s="82"/>
      <c r="Q58" s="82"/>
      <c r="R58" s="185">
        <f t="shared" si="3"/>
        <v>1.91</v>
      </c>
      <c r="S58" s="502"/>
      <c r="T58" s="504"/>
    </row>
    <row r="59" spans="1:20">
      <c r="A59" s="499"/>
      <c r="B59" s="272" t="s">
        <v>1120</v>
      </c>
      <c r="C59" s="82"/>
      <c r="D59" s="82"/>
      <c r="E59" s="82"/>
      <c r="F59" s="260">
        <v>2.2999999999999998</v>
      </c>
      <c r="G59" s="82"/>
      <c r="H59" s="97">
        <v>2.6</v>
      </c>
      <c r="I59" s="82">
        <v>0.15</v>
      </c>
      <c r="J59" s="82"/>
      <c r="K59" s="82"/>
      <c r="L59" s="82"/>
      <c r="M59" s="82"/>
      <c r="N59" s="82"/>
      <c r="O59" s="82"/>
      <c r="P59" s="82"/>
      <c r="Q59" s="82"/>
      <c r="R59" s="185">
        <f t="shared" si="3"/>
        <v>0.89</v>
      </c>
      <c r="S59" s="502"/>
      <c r="T59" s="504"/>
    </row>
    <row r="60" spans="1:20">
      <c r="A60" s="499"/>
      <c r="B60" s="272" t="s">
        <v>1121</v>
      </c>
      <c r="C60" s="82"/>
      <c r="D60" s="82"/>
      <c r="E60" s="82"/>
      <c r="F60" s="260">
        <v>4.9000000000000004</v>
      </c>
      <c r="G60" s="82"/>
      <c r="H60" s="97">
        <v>2.6</v>
      </c>
      <c r="I60" s="82">
        <v>0.15</v>
      </c>
      <c r="J60" s="82"/>
      <c r="K60" s="82"/>
      <c r="L60" s="82"/>
      <c r="M60" s="82"/>
      <c r="N60" s="82"/>
      <c r="O60" s="82"/>
      <c r="P60" s="82"/>
      <c r="Q60" s="82"/>
      <c r="R60" s="185">
        <f t="shared" si="3"/>
        <v>1.91</v>
      </c>
      <c r="S60" s="502"/>
      <c r="T60" s="504"/>
    </row>
    <row r="61" spans="1:20">
      <c r="A61" s="499"/>
      <c r="B61" s="272" t="s">
        <v>1122</v>
      </c>
      <c r="C61" s="82"/>
      <c r="D61" s="82"/>
      <c r="E61" s="82"/>
      <c r="F61" s="260">
        <v>2.2999999999999998</v>
      </c>
      <c r="G61" s="82"/>
      <c r="H61" s="97">
        <v>2.6</v>
      </c>
      <c r="I61" s="82">
        <v>0.15</v>
      </c>
      <c r="J61" s="82"/>
      <c r="K61" s="82"/>
      <c r="L61" s="82"/>
      <c r="M61" s="82"/>
      <c r="N61" s="82"/>
      <c r="O61" s="82"/>
      <c r="P61" s="82"/>
      <c r="Q61" s="82"/>
      <c r="R61" s="185">
        <f t="shared" si="3"/>
        <v>0.89</v>
      </c>
      <c r="S61" s="502"/>
      <c r="T61" s="504"/>
    </row>
    <row r="62" spans="1:20">
      <c r="A62" s="499"/>
      <c r="B62" s="272" t="s">
        <v>1123</v>
      </c>
      <c r="C62" s="82"/>
      <c r="D62" s="82"/>
      <c r="E62" s="82"/>
      <c r="F62" s="260">
        <v>1.3</v>
      </c>
      <c r="G62" s="82"/>
      <c r="H62" s="97">
        <v>2.6</v>
      </c>
      <c r="I62" s="82">
        <v>0.15</v>
      </c>
      <c r="J62" s="82"/>
      <c r="K62" s="82"/>
      <c r="L62" s="82"/>
      <c r="M62" s="82"/>
      <c r="N62" s="82"/>
      <c r="O62" s="82"/>
      <c r="P62" s="82"/>
      <c r="Q62" s="82"/>
      <c r="R62" s="185">
        <f t="shared" si="3"/>
        <v>0.5</v>
      </c>
      <c r="S62" s="502"/>
      <c r="T62" s="504"/>
    </row>
    <row r="63" spans="1:20">
      <c r="A63" s="499"/>
      <c r="B63" s="272" t="s">
        <v>1124</v>
      </c>
      <c r="C63" s="82"/>
      <c r="D63" s="82">
        <v>2</v>
      </c>
      <c r="E63" s="82"/>
      <c r="F63" s="82">
        <v>0.65</v>
      </c>
      <c r="G63" s="82"/>
      <c r="H63" s="97">
        <v>0.5</v>
      </c>
      <c r="I63" s="82">
        <v>0.15</v>
      </c>
      <c r="J63" s="82"/>
      <c r="K63" s="82"/>
      <c r="L63" s="82"/>
      <c r="M63" s="82"/>
      <c r="N63" s="82"/>
      <c r="O63" s="82"/>
      <c r="P63" s="82"/>
      <c r="Q63" s="82"/>
      <c r="R63" s="185">
        <f>TRUNC(((H63*I63*F63*D63)),2)</f>
        <v>0.09</v>
      </c>
      <c r="S63" s="502"/>
      <c r="T63" s="504"/>
    </row>
    <row r="64" spans="1:20">
      <c r="A64" s="499"/>
      <c r="B64" s="272" t="s">
        <v>1125</v>
      </c>
      <c r="C64" s="82"/>
      <c r="D64" s="82">
        <v>2</v>
      </c>
      <c r="E64" s="82"/>
      <c r="F64" s="82">
        <v>0.65</v>
      </c>
      <c r="G64" s="82"/>
      <c r="H64" s="97">
        <v>0.5</v>
      </c>
      <c r="I64" s="82">
        <v>0.15</v>
      </c>
      <c r="J64" s="82"/>
      <c r="K64" s="82"/>
      <c r="L64" s="82"/>
      <c r="M64" s="82"/>
      <c r="N64" s="82"/>
      <c r="O64" s="82"/>
      <c r="P64" s="82"/>
      <c r="Q64" s="82"/>
      <c r="R64" s="185">
        <f>TRUNC(((H64*I64*F64*D64)),2)</f>
        <v>0.09</v>
      </c>
      <c r="S64" s="502"/>
      <c r="T64" s="504"/>
    </row>
    <row r="65" spans="1:20">
      <c r="A65" s="499"/>
      <c r="B65" s="272" t="s">
        <v>1126</v>
      </c>
      <c r="C65" s="82"/>
      <c r="D65" s="82">
        <v>2</v>
      </c>
      <c r="E65" s="82"/>
      <c r="F65" s="82">
        <v>0.65</v>
      </c>
      <c r="G65" s="82"/>
      <c r="H65" s="97">
        <v>0.5</v>
      </c>
      <c r="I65" s="82">
        <v>0.15</v>
      </c>
      <c r="J65" s="82"/>
      <c r="K65" s="82"/>
      <c r="L65" s="82"/>
      <c r="M65" s="82"/>
      <c r="N65" s="82"/>
      <c r="O65" s="82"/>
      <c r="P65" s="82"/>
      <c r="Q65" s="82"/>
      <c r="R65" s="185">
        <f>TRUNC(((H65*I65*F65*D65)),2)</f>
        <v>0.09</v>
      </c>
      <c r="S65" s="502"/>
      <c r="T65" s="504"/>
    </row>
    <row r="66" spans="1:20" ht="15.75" thickBot="1">
      <c r="A66" s="499"/>
      <c r="B66" s="272" t="s">
        <v>1127</v>
      </c>
      <c r="C66" s="82"/>
      <c r="D66" s="82">
        <v>2</v>
      </c>
      <c r="E66" s="82"/>
      <c r="F66" s="82">
        <v>0.65</v>
      </c>
      <c r="G66" s="82"/>
      <c r="H66" s="97">
        <v>0.5</v>
      </c>
      <c r="I66" s="82">
        <v>0.15</v>
      </c>
      <c r="J66" s="82"/>
      <c r="K66" s="82"/>
      <c r="L66" s="82"/>
      <c r="M66" s="82"/>
      <c r="N66" s="82"/>
      <c r="O66" s="82"/>
      <c r="P66" s="82"/>
      <c r="Q66" s="82"/>
      <c r="R66" s="185">
        <f>TRUNC(((H66*I66*F66*D66)),2)</f>
        <v>0.09</v>
      </c>
      <c r="S66" s="502"/>
      <c r="T66" s="504"/>
    </row>
    <row r="67" spans="1:20">
      <c r="A67" s="490" t="s">
        <v>881</v>
      </c>
      <c r="B67" s="492" t="str">
        <f>PLANILHA!C262</f>
        <v>Pintura impermeabilizante com igolflex ou equivalente a 3 demãos</v>
      </c>
      <c r="C67" s="493"/>
      <c r="D67" s="493"/>
      <c r="E67" s="493"/>
      <c r="F67" s="493"/>
      <c r="G67" s="493"/>
      <c r="H67" s="493"/>
      <c r="I67" s="493"/>
      <c r="J67" s="493"/>
      <c r="K67" s="493"/>
      <c r="L67" s="493"/>
      <c r="M67" s="493"/>
      <c r="N67" s="493"/>
      <c r="O67" s="493"/>
      <c r="P67" s="493"/>
      <c r="Q67" s="493"/>
      <c r="R67" s="494"/>
      <c r="S67" s="506" t="s">
        <v>35</v>
      </c>
      <c r="T67" s="521">
        <f>TRUNC(((SUM(R68:R71))),2)</f>
        <v>37.4</v>
      </c>
    </row>
    <row r="68" spans="1:20">
      <c r="A68" s="499"/>
      <c r="B68" s="82" t="s">
        <v>1128</v>
      </c>
      <c r="C68" s="82"/>
      <c r="D68" s="82"/>
      <c r="E68" s="82"/>
      <c r="F68" s="260">
        <v>4.9000000000000004</v>
      </c>
      <c r="G68" s="82"/>
      <c r="H68" s="82">
        <v>2.6</v>
      </c>
      <c r="I68" s="82"/>
      <c r="J68" s="82"/>
      <c r="K68" s="82"/>
      <c r="L68" s="82"/>
      <c r="M68" s="82"/>
      <c r="N68" s="82"/>
      <c r="O68" s="82"/>
      <c r="P68" s="82"/>
      <c r="Q68" s="82"/>
      <c r="R68" s="261">
        <f>TRUNC(((F68*H68)),2)</f>
        <v>12.7</v>
      </c>
      <c r="S68" s="507"/>
      <c r="T68" s="522"/>
    </row>
    <row r="69" spans="1:20">
      <c r="A69" s="499"/>
      <c r="B69" s="82" t="s">
        <v>1129</v>
      </c>
      <c r="C69" s="82"/>
      <c r="D69" s="82"/>
      <c r="E69" s="82"/>
      <c r="F69" s="260">
        <v>2.2999999999999998</v>
      </c>
      <c r="G69" s="82"/>
      <c r="H69" s="82">
        <v>2.6</v>
      </c>
      <c r="I69" s="82"/>
      <c r="J69" s="82"/>
      <c r="K69" s="82"/>
      <c r="L69" s="82"/>
      <c r="M69" s="82"/>
      <c r="N69" s="82"/>
      <c r="O69" s="82"/>
      <c r="P69" s="82"/>
      <c r="Q69" s="82"/>
      <c r="R69" s="261">
        <f>TRUNC(((F69*H69)),2)</f>
        <v>6</v>
      </c>
      <c r="S69" s="507"/>
      <c r="T69" s="522"/>
    </row>
    <row r="70" spans="1:20">
      <c r="A70" s="499"/>
      <c r="B70" s="82" t="s">
        <v>1130</v>
      </c>
      <c r="C70" s="82"/>
      <c r="D70" s="82"/>
      <c r="E70" s="82"/>
      <c r="F70" s="260">
        <v>4.9000000000000004</v>
      </c>
      <c r="G70" s="82"/>
      <c r="H70" s="82">
        <v>2.6</v>
      </c>
      <c r="I70" s="82"/>
      <c r="J70" s="82"/>
      <c r="K70" s="82"/>
      <c r="L70" s="82"/>
      <c r="M70" s="82"/>
      <c r="N70" s="82"/>
      <c r="O70" s="82"/>
      <c r="P70" s="82"/>
      <c r="Q70" s="82"/>
      <c r="R70" s="261">
        <f>TRUNC(((F70*H70)),2)</f>
        <v>12.7</v>
      </c>
      <c r="S70" s="507"/>
      <c r="T70" s="522"/>
    </row>
    <row r="71" spans="1:20" ht="15.75" thickBot="1">
      <c r="A71" s="500"/>
      <c r="B71" s="82" t="s">
        <v>1131</v>
      </c>
      <c r="C71" s="82"/>
      <c r="D71" s="82"/>
      <c r="E71" s="82"/>
      <c r="F71" s="260">
        <v>2.2999999999999998</v>
      </c>
      <c r="G71" s="82"/>
      <c r="H71" s="82">
        <v>2.6</v>
      </c>
      <c r="I71" s="82"/>
      <c r="J71" s="82"/>
      <c r="K71" s="82"/>
      <c r="L71" s="82"/>
      <c r="M71" s="82"/>
      <c r="N71" s="82"/>
      <c r="O71" s="82"/>
      <c r="P71" s="82"/>
      <c r="Q71" s="82"/>
      <c r="R71" s="261">
        <f>TRUNC(((F71*H71)),2)</f>
        <v>6</v>
      </c>
      <c r="S71" s="520"/>
      <c r="T71" s="523"/>
    </row>
    <row r="72" spans="1:20" ht="15.75" thickBot="1">
      <c r="A72" s="270" t="s">
        <v>884</v>
      </c>
      <c r="B72" s="262" t="str">
        <f>PLANILHA!B263</f>
        <v>ESTRUTURA BASE MOLHADA</v>
      </c>
      <c r="C72" s="263"/>
      <c r="D72" s="263"/>
      <c r="E72" s="263"/>
      <c r="F72" s="263"/>
      <c r="G72" s="263"/>
      <c r="H72" s="263"/>
      <c r="I72" s="263"/>
      <c r="J72" s="263"/>
      <c r="K72" s="263"/>
      <c r="L72" s="263"/>
      <c r="M72" s="263"/>
      <c r="N72" s="263"/>
      <c r="O72" s="263"/>
      <c r="P72" s="263"/>
      <c r="Q72" s="263"/>
      <c r="R72" s="263"/>
      <c r="S72" s="287"/>
      <c r="T72" s="264"/>
    </row>
    <row r="73" spans="1:20">
      <c r="A73" s="490" t="s">
        <v>886</v>
      </c>
      <c r="B73" s="492" t="str">
        <f>PLANILHA!C264</f>
        <v>Tela de aço soldada Telcon Q-196 ou similar, fornecimento e assentamento.</v>
      </c>
      <c r="C73" s="493"/>
      <c r="D73" s="493"/>
      <c r="E73" s="493"/>
      <c r="F73" s="493"/>
      <c r="G73" s="493"/>
      <c r="H73" s="493"/>
      <c r="I73" s="493"/>
      <c r="J73" s="493"/>
      <c r="K73" s="493"/>
      <c r="L73" s="493"/>
      <c r="M73" s="493"/>
      <c r="N73" s="493"/>
      <c r="O73" s="493"/>
      <c r="P73" s="493"/>
      <c r="Q73" s="493"/>
      <c r="R73" s="494"/>
      <c r="S73" s="501" t="s">
        <v>35</v>
      </c>
      <c r="T73" s="497">
        <f>TRUNC((SUM(R74:R76)),2)</f>
        <v>56.52</v>
      </c>
    </row>
    <row r="74" spans="1:20">
      <c r="A74" s="499"/>
      <c r="B74" s="266" t="s">
        <v>1132</v>
      </c>
      <c r="C74" s="266"/>
      <c r="D74" s="123">
        <v>3</v>
      </c>
      <c r="E74" s="266"/>
      <c r="F74" s="123">
        <v>4.4000000000000004</v>
      </c>
      <c r="G74" s="123">
        <v>0.4</v>
      </c>
      <c r="H74" s="123">
        <v>0.5</v>
      </c>
      <c r="I74" s="266"/>
      <c r="J74" s="266"/>
      <c r="K74" s="266"/>
      <c r="L74" s="266"/>
      <c r="M74" s="266"/>
      <c r="N74" s="266"/>
      <c r="O74" s="266"/>
      <c r="P74" s="266"/>
      <c r="Q74" s="266"/>
      <c r="R74" s="91">
        <f>TRUNC((D74*((F74+G74)*H74)),2)</f>
        <v>7.2</v>
      </c>
      <c r="S74" s="502"/>
      <c r="T74" s="504"/>
    </row>
    <row r="75" spans="1:20">
      <c r="A75" s="499"/>
      <c r="B75" s="266" t="s">
        <v>1133</v>
      </c>
      <c r="C75" s="266"/>
      <c r="D75" s="123">
        <v>3</v>
      </c>
      <c r="E75" s="266"/>
      <c r="F75" s="123">
        <v>4.4000000000000004</v>
      </c>
      <c r="G75" s="123">
        <v>0.4</v>
      </c>
      <c r="H75" s="123">
        <v>0.5</v>
      </c>
      <c r="I75" s="266"/>
      <c r="J75" s="266"/>
      <c r="K75" s="266"/>
      <c r="L75" s="266"/>
      <c r="M75" s="266"/>
      <c r="N75" s="266"/>
      <c r="O75" s="266"/>
      <c r="P75" s="266"/>
      <c r="Q75" s="266"/>
      <c r="R75" s="91">
        <f>TRUNC((D75*((F75+G75)*H75)),2)</f>
        <v>7.2</v>
      </c>
      <c r="S75" s="502"/>
      <c r="T75" s="504"/>
    </row>
    <row r="76" spans="1:20" ht="15.75" thickBot="1">
      <c r="A76" s="499"/>
      <c r="B76" s="88" t="s">
        <v>1134</v>
      </c>
      <c r="C76" s="82"/>
      <c r="D76" s="82"/>
      <c r="E76" s="82"/>
      <c r="F76" s="260">
        <v>7.8</v>
      </c>
      <c r="G76" s="82">
        <v>5.4</v>
      </c>
      <c r="H76" s="97"/>
      <c r="I76" s="82"/>
      <c r="J76" s="82"/>
      <c r="K76" s="82"/>
      <c r="L76" s="82"/>
      <c r="M76" s="82"/>
      <c r="N76" s="82"/>
      <c r="O76" s="82"/>
      <c r="P76" s="82"/>
      <c r="Q76" s="82"/>
      <c r="R76" s="274">
        <f>TRUNC(((F76*G76)),2)</f>
        <v>42.12</v>
      </c>
      <c r="S76" s="502"/>
      <c r="T76" s="504"/>
    </row>
    <row r="77" spans="1:20">
      <c r="A77" s="490" t="s">
        <v>888</v>
      </c>
      <c r="B77" s="492" t="str">
        <f>PLANILHA!C265</f>
        <v>Fôrma em chapa de madeira compensada plastificada 12mm para estrutura em geral, 5 reaproveitamentos, reforçada com sarrafos de madeira 2.5x10cm (incl material, corte, montagem, escoras em eucalipto e desforma)</v>
      </c>
      <c r="C77" s="493"/>
      <c r="D77" s="493"/>
      <c r="E77" s="493"/>
      <c r="F77" s="493"/>
      <c r="G77" s="493"/>
      <c r="H77" s="493"/>
      <c r="I77" s="493"/>
      <c r="J77" s="493"/>
      <c r="K77" s="493"/>
      <c r="L77" s="493"/>
      <c r="M77" s="493"/>
      <c r="N77" s="493"/>
      <c r="O77" s="493"/>
      <c r="P77" s="493"/>
      <c r="Q77" s="493"/>
      <c r="R77" s="494"/>
      <c r="S77" s="501" t="s">
        <v>35</v>
      </c>
      <c r="T77" s="497">
        <f>TRUNC((SUM(R78:R81)),2)</f>
        <v>18.96</v>
      </c>
    </row>
    <row r="78" spans="1:20">
      <c r="A78" s="499"/>
      <c r="B78" s="88" t="s">
        <v>1135</v>
      </c>
      <c r="C78" s="82"/>
      <c r="D78" s="82"/>
      <c r="E78" s="82"/>
      <c r="F78" s="260">
        <v>7.8</v>
      </c>
      <c r="G78" s="82">
        <v>5.4</v>
      </c>
      <c r="H78" s="97">
        <v>0.5</v>
      </c>
      <c r="I78" s="82"/>
      <c r="J78" s="82"/>
      <c r="K78" s="82"/>
      <c r="L78" s="82"/>
      <c r="M78" s="82"/>
      <c r="N78" s="82"/>
      <c r="O78" s="82"/>
      <c r="P78" s="82"/>
      <c r="Q78" s="82"/>
      <c r="R78" s="91">
        <f>TRUNC((((F78+G78)*H78)),2)</f>
        <v>6.6</v>
      </c>
      <c r="S78" s="502"/>
      <c r="T78" s="504"/>
    </row>
    <row r="79" spans="1:20">
      <c r="A79" s="499"/>
      <c r="B79" s="273" t="s">
        <v>1136</v>
      </c>
      <c r="C79" s="82"/>
      <c r="D79" s="82"/>
      <c r="E79" s="82"/>
      <c r="F79" s="260">
        <v>7.8</v>
      </c>
      <c r="G79" s="82">
        <v>5.4</v>
      </c>
      <c r="H79" s="97">
        <v>0.5</v>
      </c>
      <c r="I79" s="82"/>
      <c r="J79" s="82"/>
      <c r="K79" s="82"/>
      <c r="L79" s="82"/>
      <c r="M79" s="82"/>
      <c r="N79" s="82"/>
      <c r="O79" s="82"/>
      <c r="P79" s="82"/>
      <c r="Q79" s="82"/>
      <c r="R79" s="91">
        <f>TRUNC((((F79+G79)*H79)),2)</f>
        <v>6.6</v>
      </c>
      <c r="S79" s="502"/>
      <c r="T79" s="504"/>
    </row>
    <row r="80" spans="1:20">
      <c r="A80" s="499"/>
      <c r="B80" s="273" t="s">
        <v>1137</v>
      </c>
      <c r="C80" s="82"/>
      <c r="D80" s="82"/>
      <c r="E80" s="82"/>
      <c r="F80" s="260">
        <v>4.4000000000000004</v>
      </c>
      <c r="G80" s="82">
        <v>0.4</v>
      </c>
      <c r="H80" s="97">
        <v>0.6</v>
      </c>
      <c r="I80" s="82"/>
      <c r="J80" s="82"/>
      <c r="K80" s="82"/>
      <c r="L80" s="82"/>
      <c r="M80" s="82"/>
      <c r="N80" s="82"/>
      <c r="O80" s="82"/>
      <c r="P80" s="82"/>
      <c r="Q80" s="82"/>
      <c r="R80" s="91">
        <f>TRUNC((((F80+G80)*H80)),2)</f>
        <v>2.88</v>
      </c>
      <c r="S80" s="502"/>
      <c r="T80" s="504"/>
    </row>
    <row r="81" spans="1:20" ht="15.75" thickBot="1">
      <c r="A81" s="499"/>
      <c r="B81" s="273" t="s">
        <v>1138</v>
      </c>
      <c r="C81" s="82"/>
      <c r="D81" s="82"/>
      <c r="E81" s="82"/>
      <c r="F81" s="260">
        <v>4.4000000000000004</v>
      </c>
      <c r="G81" s="82">
        <v>0.4</v>
      </c>
      <c r="H81" s="97">
        <v>0.6</v>
      </c>
      <c r="I81" s="82"/>
      <c r="J81" s="82"/>
      <c r="K81" s="82"/>
      <c r="L81" s="82"/>
      <c r="M81" s="82"/>
      <c r="N81" s="82"/>
      <c r="O81" s="82"/>
      <c r="P81" s="82"/>
      <c r="Q81" s="82"/>
      <c r="R81" s="91">
        <f>TRUNC((((F81+G81)*H81)),2)</f>
        <v>2.88</v>
      </c>
      <c r="S81" s="502"/>
      <c r="T81" s="504"/>
    </row>
    <row r="82" spans="1:20">
      <c r="A82" s="490" t="s">
        <v>889</v>
      </c>
      <c r="B82" s="492" t="str">
        <f>PLANILHA!C266</f>
        <v>Fornecimento e aplicação de concreto USINADO Fck=25 MPa - considerando lançamento MANUAL para INFRA-ESTRUTURA (5% de perdas já incluído no custo)</v>
      </c>
      <c r="C82" s="493"/>
      <c r="D82" s="493"/>
      <c r="E82" s="493"/>
      <c r="F82" s="493"/>
      <c r="G82" s="493"/>
      <c r="H82" s="493"/>
      <c r="I82" s="493"/>
      <c r="J82" s="493"/>
      <c r="K82" s="493"/>
      <c r="L82" s="493"/>
      <c r="M82" s="493"/>
      <c r="N82" s="493"/>
      <c r="O82" s="493"/>
      <c r="P82" s="493"/>
      <c r="Q82" s="493"/>
      <c r="R82" s="494"/>
      <c r="S82" s="501" t="s">
        <v>64</v>
      </c>
      <c r="T82" s="497">
        <f>TRUNC((SUM(R83:R86)),2)</f>
        <v>10.08</v>
      </c>
    </row>
    <row r="83" spans="1:20">
      <c r="A83" s="499"/>
      <c r="B83" s="88" t="s">
        <v>1161</v>
      </c>
      <c r="C83" s="82"/>
      <c r="D83" s="82"/>
      <c r="E83" s="82"/>
      <c r="F83" s="260">
        <v>7.8</v>
      </c>
      <c r="G83" s="82">
        <v>5.4</v>
      </c>
      <c r="H83" s="97"/>
      <c r="I83" s="82">
        <v>0.15</v>
      </c>
      <c r="J83" s="82"/>
      <c r="K83" s="82"/>
      <c r="L83" s="82"/>
      <c r="M83" s="82"/>
      <c r="N83" s="82"/>
      <c r="O83" s="82">
        <f>F83*G83</f>
        <v>42.12</v>
      </c>
      <c r="P83" s="82"/>
      <c r="Q83" s="82"/>
      <c r="R83" s="91">
        <f>TRUNC((((O83)*I83)),2)</f>
        <v>6.31</v>
      </c>
      <c r="S83" s="502"/>
      <c r="T83" s="504"/>
    </row>
    <row r="84" spans="1:20">
      <c r="A84" s="499"/>
      <c r="B84" s="273" t="s">
        <v>1139</v>
      </c>
      <c r="C84" s="82"/>
      <c r="D84" s="82">
        <v>3</v>
      </c>
      <c r="E84" s="82"/>
      <c r="F84" s="260">
        <v>4.4000000000000004</v>
      </c>
      <c r="G84" s="82">
        <f>0.4+0.15+0.15</f>
        <v>0.7</v>
      </c>
      <c r="H84" s="97"/>
      <c r="I84" s="82">
        <v>0.12</v>
      </c>
      <c r="J84" s="82"/>
      <c r="K84" s="82"/>
      <c r="L84" s="82"/>
      <c r="M84" s="82"/>
      <c r="N84" s="82"/>
      <c r="O84" s="82">
        <f>F84*G84</f>
        <v>3.08</v>
      </c>
      <c r="P84" s="82"/>
      <c r="Q84" s="82"/>
      <c r="R84" s="91">
        <f>TRUNC((((O84)*D84*I84)),2)</f>
        <v>1.1000000000000001</v>
      </c>
      <c r="S84" s="502"/>
      <c r="T84" s="504"/>
    </row>
    <row r="85" spans="1:20">
      <c r="A85" s="499"/>
      <c r="B85" s="273" t="s">
        <v>1140</v>
      </c>
      <c r="C85" s="82"/>
      <c r="D85" s="82">
        <v>6</v>
      </c>
      <c r="E85" s="82"/>
      <c r="F85" s="260">
        <v>4.4000000000000004</v>
      </c>
      <c r="G85" s="82">
        <f>0.5+0.12</f>
        <v>0.62</v>
      </c>
      <c r="H85" s="97"/>
      <c r="I85" s="82">
        <v>0.15</v>
      </c>
      <c r="J85" s="82"/>
      <c r="K85" s="82"/>
      <c r="L85" s="82"/>
      <c r="M85" s="82"/>
      <c r="N85" s="82"/>
      <c r="O85" s="82">
        <f>F85*G85</f>
        <v>2.7280000000000002</v>
      </c>
      <c r="P85" s="82"/>
      <c r="Q85" s="82"/>
      <c r="R85" s="91">
        <f>TRUNC((((O85)*D85*I85)),2)</f>
        <v>2.4500000000000002</v>
      </c>
      <c r="S85" s="502"/>
      <c r="T85" s="504"/>
    </row>
    <row r="86" spans="1:20" ht="15.75" thickBot="1">
      <c r="A86" s="499"/>
      <c r="B86" s="273" t="s">
        <v>1141</v>
      </c>
      <c r="C86" s="82"/>
      <c r="D86" s="82">
        <v>6</v>
      </c>
      <c r="E86" s="82"/>
      <c r="F86" s="260">
        <v>0.4</v>
      </c>
      <c r="G86" s="82">
        <f>0.5+0.12</f>
        <v>0.62</v>
      </c>
      <c r="H86" s="97"/>
      <c r="I86" s="82">
        <v>0.15</v>
      </c>
      <c r="J86" s="82"/>
      <c r="K86" s="82"/>
      <c r="L86" s="82"/>
      <c r="M86" s="82"/>
      <c r="N86" s="82"/>
      <c r="O86" s="82">
        <f>F86*G86</f>
        <v>0.248</v>
      </c>
      <c r="P86" s="82"/>
      <c r="Q86" s="82"/>
      <c r="R86" s="91">
        <f>TRUNC((((O86)*D86*I86)),2)</f>
        <v>0.22</v>
      </c>
      <c r="S86" s="502"/>
      <c r="T86" s="504"/>
    </row>
    <row r="87" spans="1:20" ht="15.75" thickBot="1">
      <c r="A87" s="490" t="s">
        <v>890</v>
      </c>
      <c r="B87" s="492" t="str">
        <f>PLANILHA!C267</f>
        <v>Canaleta no piso em concreto simples com dimensões internas de 20 x 10 cm e grelha em ferro diam. 1/2" a cada 3 cm fixados em cantoneira de 3/4" x 1/8" apoiada sobre requadro em cantoneira de 1" x 3/16"</v>
      </c>
      <c r="C87" s="493"/>
      <c r="D87" s="493"/>
      <c r="E87" s="493"/>
      <c r="F87" s="493"/>
      <c r="G87" s="493"/>
      <c r="H87" s="493"/>
      <c r="I87" s="493"/>
      <c r="J87" s="493"/>
      <c r="K87" s="493"/>
      <c r="L87" s="493"/>
      <c r="M87" s="493"/>
      <c r="N87" s="493"/>
      <c r="O87" s="493"/>
      <c r="P87" s="493"/>
      <c r="Q87" s="493"/>
      <c r="R87" s="494"/>
      <c r="S87" s="495" t="s">
        <v>49</v>
      </c>
      <c r="T87" s="497">
        <f>R88</f>
        <v>26.4</v>
      </c>
    </row>
    <row r="88" spans="1:20" ht="15.75" thickBot="1">
      <c r="A88" s="499"/>
      <c r="B88" s="266" t="s">
        <v>1128</v>
      </c>
      <c r="C88" s="266"/>
      <c r="D88" s="266"/>
      <c r="E88" s="266"/>
      <c r="F88" s="123">
        <v>7.8</v>
      </c>
      <c r="G88" s="266"/>
      <c r="H88" s="266"/>
      <c r="I88" s="266"/>
      <c r="J88" s="266"/>
      <c r="K88" s="266"/>
      <c r="L88" s="266"/>
      <c r="M88" s="266"/>
      <c r="N88" s="266"/>
      <c r="O88" s="266"/>
      <c r="P88" s="266"/>
      <c r="Q88" s="266"/>
      <c r="R88" s="517">
        <f>TRUNC((SUM(F88:F91)),2)</f>
        <v>26.4</v>
      </c>
      <c r="S88" s="495"/>
      <c r="T88" s="504"/>
    </row>
    <row r="89" spans="1:20" ht="15.75" thickBot="1">
      <c r="A89" s="499"/>
      <c r="B89" s="266" t="s">
        <v>1129</v>
      </c>
      <c r="C89" s="266"/>
      <c r="D89" s="266"/>
      <c r="E89" s="266"/>
      <c r="F89" s="123">
        <v>5.4</v>
      </c>
      <c r="G89" s="266"/>
      <c r="H89" s="266"/>
      <c r="I89" s="266"/>
      <c r="J89" s="266"/>
      <c r="K89" s="266"/>
      <c r="L89" s="266"/>
      <c r="M89" s="266"/>
      <c r="N89" s="266"/>
      <c r="O89" s="266"/>
      <c r="P89" s="266"/>
      <c r="Q89" s="266"/>
      <c r="R89" s="518"/>
      <c r="S89" s="495"/>
      <c r="T89" s="504"/>
    </row>
    <row r="90" spans="1:20" ht="15.75" thickBot="1">
      <c r="A90" s="499"/>
      <c r="B90" s="266" t="s">
        <v>1130</v>
      </c>
      <c r="C90" s="266"/>
      <c r="D90" s="266"/>
      <c r="E90" s="266"/>
      <c r="F90" s="123">
        <v>7.8</v>
      </c>
      <c r="G90" s="266"/>
      <c r="H90" s="266"/>
      <c r="I90" s="266"/>
      <c r="J90" s="266"/>
      <c r="K90" s="266"/>
      <c r="L90" s="266"/>
      <c r="M90" s="266"/>
      <c r="N90" s="266"/>
      <c r="O90" s="266"/>
      <c r="P90" s="266"/>
      <c r="Q90" s="266"/>
      <c r="R90" s="518"/>
      <c r="S90" s="495"/>
      <c r="T90" s="504"/>
    </row>
    <row r="91" spans="1:20" ht="15.75" thickBot="1">
      <c r="A91" s="499"/>
      <c r="B91" s="88" t="s">
        <v>1131</v>
      </c>
      <c r="C91" s="82"/>
      <c r="D91" s="82"/>
      <c r="E91" s="82"/>
      <c r="F91" s="261">
        <v>5.4</v>
      </c>
      <c r="G91" s="82"/>
      <c r="H91" s="97"/>
      <c r="I91" s="82"/>
      <c r="J91" s="82"/>
      <c r="K91" s="82"/>
      <c r="L91" s="82"/>
      <c r="M91" s="82"/>
      <c r="N91" s="82"/>
      <c r="O91" s="82"/>
      <c r="P91" s="82"/>
      <c r="Q91" s="82"/>
      <c r="R91" s="519"/>
      <c r="S91" s="495"/>
      <c r="T91" s="504"/>
    </row>
    <row r="92" spans="1:20" ht="15.75" thickBot="1">
      <c r="A92" s="490" t="s">
        <v>891</v>
      </c>
      <c r="B92" s="492" t="str">
        <f>PLANILHA!C268</f>
        <v>Pintura impermeabilizante com igolflex ou equivalente a 3 demãos</v>
      </c>
      <c r="C92" s="493"/>
      <c r="D92" s="493"/>
      <c r="E92" s="493"/>
      <c r="F92" s="493"/>
      <c r="G92" s="493"/>
      <c r="H92" s="493"/>
      <c r="I92" s="493"/>
      <c r="J92" s="493"/>
      <c r="K92" s="493"/>
      <c r="L92" s="493"/>
      <c r="M92" s="493"/>
      <c r="N92" s="493"/>
      <c r="O92" s="493"/>
      <c r="P92" s="493"/>
      <c r="Q92" s="493"/>
      <c r="R92" s="494"/>
      <c r="S92" s="495" t="s">
        <v>35</v>
      </c>
      <c r="T92" s="497">
        <f>R93</f>
        <v>42.12</v>
      </c>
    </row>
    <row r="93" spans="1:20" ht="15.75" thickBot="1">
      <c r="A93" s="499"/>
      <c r="B93" s="82"/>
      <c r="C93" s="82"/>
      <c r="D93" s="82"/>
      <c r="E93" s="82"/>
      <c r="F93" s="260">
        <v>7.8</v>
      </c>
      <c r="G93" s="82">
        <v>5.4</v>
      </c>
      <c r="H93" s="97"/>
      <c r="I93" s="82"/>
      <c r="J93" s="82"/>
      <c r="K93" s="82"/>
      <c r="L93" s="82"/>
      <c r="M93" s="82"/>
      <c r="N93" s="82"/>
      <c r="O93" s="82"/>
      <c r="P93" s="82"/>
      <c r="Q93" s="82"/>
      <c r="R93" s="274">
        <f>TRUNC(((F93*G93)),2)</f>
        <v>42.12</v>
      </c>
      <c r="S93" s="495"/>
      <c r="T93" s="504"/>
    </row>
    <row r="94" spans="1:20" ht="15.75" thickBot="1">
      <c r="A94" s="270" t="s">
        <v>894</v>
      </c>
      <c r="B94" s="262" t="str">
        <f>PLANILHA!B269</f>
        <v>REDE DE ÁGUA</v>
      </c>
      <c r="C94" s="263"/>
      <c r="D94" s="263"/>
      <c r="E94" s="263"/>
      <c r="F94" s="263"/>
      <c r="G94" s="263"/>
      <c r="H94" s="263"/>
      <c r="I94" s="263"/>
      <c r="J94" s="263"/>
      <c r="K94" s="263"/>
      <c r="L94" s="263"/>
      <c r="M94" s="263"/>
      <c r="N94" s="263"/>
      <c r="O94" s="263"/>
      <c r="P94" s="263"/>
      <c r="Q94" s="263"/>
      <c r="R94" s="263"/>
      <c r="S94" s="287"/>
      <c r="T94" s="264"/>
    </row>
    <row r="95" spans="1:20" ht="15.75" thickBot="1">
      <c r="A95" s="490" t="s">
        <v>896</v>
      </c>
      <c r="B95" s="492" t="str">
        <f>PLANILHA!C270</f>
        <v>Escavação manual em material de 1a. categoria, até 1.50 m de profundidade</v>
      </c>
      <c r="C95" s="493"/>
      <c r="D95" s="493"/>
      <c r="E95" s="493"/>
      <c r="F95" s="493"/>
      <c r="G95" s="493"/>
      <c r="H95" s="493"/>
      <c r="I95" s="493"/>
      <c r="J95" s="493"/>
      <c r="K95" s="493"/>
      <c r="L95" s="493"/>
      <c r="M95" s="493"/>
      <c r="N95" s="493"/>
      <c r="O95" s="493"/>
      <c r="P95" s="493"/>
      <c r="Q95" s="493"/>
      <c r="R95" s="494"/>
      <c r="S95" s="495" t="s">
        <v>64</v>
      </c>
      <c r="T95" s="497">
        <f>P96</f>
        <v>23.1</v>
      </c>
    </row>
    <row r="96" spans="1:20" ht="15.75" thickBot="1">
      <c r="A96" s="499"/>
      <c r="B96" s="82"/>
      <c r="C96" s="82"/>
      <c r="D96" s="82"/>
      <c r="E96" s="82"/>
      <c r="F96" s="260">
        <f>T101+T111+T132+T138+T140</f>
        <v>46.2</v>
      </c>
      <c r="G96" s="82">
        <v>0.5</v>
      </c>
      <c r="H96" s="97">
        <v>1</v>
      </c>
      <c r="I96" s="82"/>
      <c r="J96" s="82"/>
      <c r="K96" s="82"/>
      <c r="L96" s="82"/>
      <c r="M96" s="82"/>
      <c r="N96" s="82"/>
      <c r="O96" s="82"/>
      <c r="P96" s="82">
        <f>TRUNC((F96*G96*H96),2)</f>
        <v>23.1</v>
      </c>
      <c r="Q96" s="82"/>
      <c r="R96" s="82"/>
      <c r="S96" s="495"/>
      <c r="T96" s="504"/>
    </row>
    <row r="97" spans="1:20" ht="15.75" customHeight="1" thickBot="1">
      <c r="A97" s="490" t="s">
        <v>897</v>
      </c>
      <c r="B97" s="492" t="str">
        <f>PLANILHA!C271</f>
        <v>Reaterro apiloado de cavas de fundação, em camadas de 20 cm</v>
      </c>
      <c r="C97" s="493"/>
      <c r="D97" s="493"/>
      <c r="E97" s="493"/>
      <c r="F97" s="493"/>
      <c r="G97" s="493"/>
      <c r="H97" s="493"/>
      <c r="I97" s="493"/>
      <c r="J97" s="493"/>
      <c r="K97" s="493"/>
      <c r="L97" s="493"/>
      <c r="M97" s="493"/>
      <c r="N97" s="493"/>
      <c r="O97" s="493"/>
      <c r="P97" s="493"/>
      <c r="Q97" s="493"/>
      <c r="R97" s="494"/>
      <c r="S97" s="495" t="s">
        <v>64</v>
      </c>
      <c r="T97" s="497">
        <f>P98</f>
        <v>23.1</v>
      </c>
    </row>
    <row r="98" spans="1:20" ht="15.75" customHeight="1" thickBot="1">
      <c r="A98" s="499"/>
      <c r="B98" s="82"/>
      <c r="C98" s="82"/>
      <c r="D98" s="82"/>
      <c r="E98" s="82"/>
      <c r="F98" s="260"/>
      <c r="G98" s="82"/>
      <c r="H98" s="97"/>
      <c r="I98" s="82"/>
      <c r="J98" s="82"/>
      <c r="K98" s="82"/>
      <c r="L98" s="82"/>
      <c r="M98" s="82"/>
      <c r="N98" s="82"/>
      <c r="O98" s="82"/>
      <c r="P98" s="82">
        <f>P96</f>
        <v>23.1</v>
      </c>
      <c r="Q98" s="82"/>
      <c r="R98" s="82"/>
      <c r="S98" s="495"/>
      <c r="T98" s="504"/>
    </row>
    <row r="99" spans="1:20" ht="15.75" thickBot="1">
      <c r="A99" s="490" t="s">
        <v>898</v>
      </c>
      <c r="B99" s="492" t="str">
        <f>PLANILHA!C272</f>
        <v>CURVA 45 GRAUS, PVC, SOLDÁVEL, DN 25MM, INSTALADO EM RAMAL OU SUB-RAMAL DE ÁGUA - FORNECIMENTO E INSTALAÇÃO. AF_06/2022</v>
      </c>
      <c r="C99" s="493"/>
      <c r="D99" s="493"/>
      <c r="E99" s="493"/>
      <c r="F99" s="493"/>
      <c r="G99" s="493"/>
      <c r="H99" s="493"/>
      <c r="I99" s="493"/>
      <c r="J99" s="493"/>
      <c r="K99" s="493"/>
      <c r="L99" s="493"/>
      <c r="M99" s="493"/>
      <c r="N99" s="493"/>
      <c r="O99" s="493"/>
      <c r="P99" s="493"/>
      <c r="Q99" s="493"/>
      <c r="R99" s="494"/>
      <c r="S99" s="495" t="s">
        <v>340</v>
      </c>
      <c r="T99" s="497">
        <f>D100</f>
        <v>2</v>
      </c>
    </row>
    <row r="100" spans="1:20" ht="15.75" thickBot="1">
      <c r="A100" s="499"/>
      <c r="B100" s="185" t="s">
        <v>1142</v>
      </c>
      <c r="C100" s="82"/>
      <c r="D100" s="82">
        <v>2</v>
      </c>
      <c r="E100" s="82"/>
      <c r="F100" s="260"/>
      <c r="G100" s="82"/>
      <c r="H100" s="97"/>
      <c r="I100" s="82"/>
      <c r="J100" s="82"/>
      <c r="K100" s="82"/>
      <c r="L100" s="82"/>
      <c r="M100" s="82"/>
      <c r="N100" s="82"/>
      <c r="O100" s="82"/>
      <c r="P100" s="82"/>
      <c r="Q100" s="82"/>
      <c r="R100" s="82"/>
      <c r="S100" s="495"/>
      <c r="T100" s="504"/>
    </row>
    <row r="101" spans="1:20" ht="15.75" thickBot="1">
      <c r="A101" s="490" t="s">
        <v>899</v>
      </c>
      <c r="B101" s="492" t="str">
        <f>PLANILHA!C273</f>
        <v>Tubo de PVC rígido soldável marrom, diâm. 25mm (3/4"), inclusive conexões</v>
      </c>
      <c r="C101" s="493"/>
      <c r="D101" s="493"/>
      <c r="E101" s="493"/>
      <c r="F101" s="493"/>
      <c r="G101" s="493"/>
      <c r="H101" s="493"/>
      <c r="I101" s="493"/>
      <c r="J101" s="493"/>
      <c r="K101" s="493"/>
      <c r="L101" s="493"/>
      <c r="M101" s="493"/>
      <c r="N101" s="493"/>
      <c r="O101" s="493"/>
      <c r="P101" s="493"/>
      <c r="Q101" s="493"/>
      <c r="R101" s="494"/>
      <c r="S101" s="495" t="s">
        <v>49</v>
      </c>
      <c r="T101" s="511">
        <f>F102</f>
        <v>3</v>
      </c>
    </row>
    <row r="102" spans="1:20" ht="15.75" thickBot="1">
      <c r="A102" s="499"/>
      <c r="B102" s="88" t="s">
        <v>1143</v>
      </c>
      <c r="C102" s="82"/>
      <c r="D102" s="82"/>
      <c r="E102" s="82"/>
      <c r="F102" s="260">
        <v>3</v>
      </c>
      <c r="G102" s="82"/>
      <c r="H102" s="97"/>
      <c r="I102" s="82"/>
      <c r="J102" s="82"/>
      <c r="K102" s="82"/>
      <c r="L102" s="82"/>
      <c r="M102" s="82"/>
      <c r="N102" s="82"/>
      <c r="O102" s="82"/>
      <c r="P102" s="82"/>
      <c r="Q102" s="82"/>
      <c r="R102" s="82"/>
      <c r="S102" s="495"/>
      <c r="T102" s="512"/>
    </row>
    <row r="103" spans="1:20" ht="15.75" customHeight="1" thickBot="1">
      <c r="A103" s="490" t="s">
        <v>900</v>
      </c>
      <c r="B103" s="492" t="str">
        <f>PLANILHA!C274</f>
        <v>Adaptador de PVC soldável com flanges livres para caixa d'água, diâmetro 25mm (3/4")</v>
      </c>
      <c r="C103" s="493"/>
      <c r="D103" s="493"/>
      <c r="E103" s="493"/>
      <c r="F103" s="493"/>
      <c r="G103" s="493"/>
      <c r="H103" s="493"/>
      <c r="I103" s="493"/>
      <c r="J103" s="493"/>
      <c r="K103" s="493"/>
      <c r="L103" s="493"/>
      <c r="M103" s="493"/>
      <c r="N103" s="493"/>
      <c r="O103" s="493"/>
      <c r="P103" s="493"/>
      <c r="Q103" s="493"/>
      <c r="R103" s="494"/>
      <c r="S103" s="495" t="s">
        <v>340</v>
      </c>
      <c r="T103" s="497">
        <f>D104</f>
        <v>1</v>
      </c>
    </row>
    <row r="104" spans="1:20" ht="15.75" customHeight="1" thickBot="1">
      <c r="A104" s="499"/>
      <c r="B104" s="82" t="s">
        <v>1144</v>
      </c>
      <c r="C104" s="82"/>
      <c r="D104" s="82">
        <v>1</v>
      </c>
      <c r="E104" s="82"/>
      <c r="F104" s="260"/>
      <c r="G104" s="82"/>
      <c r="H104" s="97"/>
      <c r="I104" s="82"/>
      <c r="J104" s="82"/>
      <c r="K104" s="82"/>
      <c r="L104" s="82"/>
      <c r="M104" s="82"/>
      <c r="N104" s="82"/>
      <c r="O104" s="82"/>
      <c r="P104" s="82"/>
      <c r="Q104" s="82"/>
      <c r="R104" s="82"/>
      <c r="S104" s="495"/>
      <c r="T104" s="504"/>
    </row>
    <row r="105" spans="1:20" ht="15.75" customHeight="1" thickBot="1">
      <c r="A105" s="490" t="s">
        <v>901</v>
      </c>
      <c r="B105" s="492" t="str">
        <f>PLANILHA!C275</f>
        <v>Torneira de bóia de PVC, diâm. 1" (25mm)</v>
      </c>
      <c r="C105" s="493"/>
      <c r="D105" s="493"/>
      <c r="E105" s="493"/>
      <c r="F105" s="493"/>
      <c r="G105" s="493"/>
      <c r="H105" s="493"/>
      <c r="I105" s="493"/>
      <c r="J105" s="493"/>
      <c r="K105" s="493"/>
      <c r="L105" s="493"/>
      <c r="M105" s="493"/>
      <c r="N105" s="493"/>
      <c r="O105" s="493"/>
      <c r="P105" s="493"/>
      <c r="Q105" s="493"/>
      <c r="R105" s="494"/>
      <c r="S105" s="495" t="s">
        <v>340</v>
      </c>
      <c r="T105" s="497">
        <f>D106</f>
        <v>1</v>
      </c>
    </row>
    <row r="106" spans="1:20" ht="15.75" customHeight="1" thickBot="1">
      <c r="A106" s="499"/>
      <c r="B106" s="82"/>
      <c r="C106" s="82"/>
      <c r="D106" s="82">
        <v>1</v>
      </c>
      <c r="E106" s="82"/>
      <c r="F106" s="260"/>
      <c r="G106" s="82"/>
      <c r="H106" s="97"/>
      <c r="I106" s="82"/>
      <c r="J106" s="82"/>
      <c r="K106" s="82"/>
      <c r="L106" s="82"/>
      <c r="M106" s="82"/>
      <c r="N106" s="82"/>
      <c r="O106" s="82"/>
      <c r="P106" s="82"/>
      <c r="Q106" s="82"/>
      <c r="R106" s="82"/>
      <c r="S106" s="495"/>
      <c r="T106" s="504"/>
    </row>
    <row r="107" spans="1:20" ht="15.75" customHeight="1" thickBot="1">
      <c r="A107" s="490" t="s">
        <v>920</v>
      </c>
      <c r="B107" s="492" t="str">
        <f>PLANILHA!C276</f>
        <v xml:space="preserve">CURVA 45 GRAUS, PVC, SOLDÁVEL, DN 110MM, INSTALADO EM RAMAL OU SUB-RAMAL DE ÁGUA - FORNECIMENTO E INSTALAÇÃO. </v>
      </c>
      <c r="C107" s="493"/>
      <c r="D107" s="493"/>
      <c r="E107" s="493"/>
      <c r="F107" s="493"/>
      <c r="G107" s="493"/>
      <c r="H107" s="493"/>
      <c r="I107" s="493"/>
      <c r="J107" s="493"/>
      <c r="K107" s="493"/>
      <c r="L107" s="493"/>
      <c r="M107" s="493"/>
      <c r="N107" s="493"/>
      <c r="O107" s="493"/>
      <c r="P107" s="493"/>
      <c r="Q107" s="493"/>
      <c r="R107" s="494"/>
      <c r="S107" s="495" t="s">
        <v>340</v>
      </c>
      <c r="T107" s="497">
        <f>D108</f>
        <v>2</v>
      </c>
    </row>
    <row r="108" spans="1:20" ht="15.75" customHeight="1" thickBot="1">
      <c r="A108" s="499"/>
      <c r="B108" s="82" t="s">
        <v>1145</v>
      </c>
      <c r="C108" s="82"/>
      <c r="D108" s="82">
        <v>2</v>
      </c>
      <c r="E108" s="82"/>
      <c r="F108" s="260"/>
      <c r="G108" s="82"/>
      <c r="H108" s="97"/>
      <c r="I108" s="82"/>
      <c r="J108" s="82"/>
      <c r="K108" s="82"/>
      <c r="L108" s="82"/>
      <c r="M108" s="82"/>
      <c r="N108" s="82"/>
      <c r="O108" s="82"/>
      <c r="P108" s="82"/>
      <c r="Q108" s="82"/>
      <c r="R108" s="82"/>
      <c r="S108" s="495"/>
      <c r="T108" s="504"/>
    </row>
    <row r="109" spans="1:20" ht="15.75" customHeight="1" thickBot="1">
      <c r="A109" s="490" t="s">
        <v>921</v>
      </c>
      <c r="B109" s="492" t="str">
        <f>PLANILHA!C277</f>
        <v xml:space="preserve">TÊ, PVC, SOLDÁVEL, DN 110MM, INSTALADO EM RAMAL OU SUB-RAMAL DE ÁGUA - FORNECIMENTO E INSTALAÇÃO. </v>
      </c>
      <c r="C109" s="493"/>
      <c r="D109" s="493"/>
      <c r="E109" s="493"/>
      <c r="F109" s="493"/>
      <c r="G109" s="493"/>
      <c r="H109" s="493"/>
      <c r="I109" s="493"/>
      <c r="J109" s="493"/>
      <c r="K109" s="493"/>
      <c r="L109" s="493"/>
      <c r="M109" s="493"/>
      <c r="N109" s="493"/>
      <c r="O109" s="493"/>
      <c r="P109" s="493"/>
      <c r="Q109" s="493"/>
      <c r="R109" s="494"/>
      <c r="S109" s="495" t="s">
        <v>340</v>
      </c>
      <c r="T109" s="497">
        <f>D110</f>
        <v>1</v>
      </c>
    </row>
    <row r="110" spans="1:20" ht="15.75" customHeight="1" thickBot="1">
      <c r="A110" s="499"/>
      <c r="B110" s="82" t="s">
        <v>1145</v>
      </c>
      <c r="C110" s="82"/>
      <c r="D110" s="82">
        <v>1</v>
      </c>
      <c r="E110" s="82"/>
      <c r="F110" s="260"/>
      <c r="G110" s="82"/>
      <c r="H110" s="97"/>
      <c r="I110" s="82"/>
      <c r="J110" s="82"/>
      <c r="K110" s="82"/>
      <c r="L110" s="82"/>
      <c r="M110" s="82"/>
      <c r="N110" s="82"/>
      <c r="O110" s="82"/>
      <c r="P110" s="82"/>
      <c r="Q110" s="82"/>
      <c r="R110" s="82"/>
      <c r="S110" s="495"/>
      <c r="T110" s="504"/>
    </row>
    <row r="111" spans="1:20">
      <c r="A111" s="490" t="s">
        <v>922</v>
      </c>
      <c r="B111" s="492" t="str">
        <f>PLANILHA!C278</f>
        <v xml:space="preserve">TUBO DE PVC, SOLDÁVEL, DN 110MM, INSTALADO EM RAMAL OU SUB-RAMAL DE ÁGUA - FORNECIMENTO E INSTALAÇÃO. </v>
      </c>
      <c r="C111" s="493"/>
      <c r="D111" s="493"/>
      <c r="E111" s="493"/>
      <c r="F111" s="493"/>
      <c r="G111" s="493"/>
      <c r="H111" s="493"/>
      <c r="I111" s="493"/>
      <c r="J111" s="493"/>
      <c r="K111" s="493"/>
      <c r="L111" s="493"/>
      <c r="M111" s="493"/>
      <c r="N111" s="493"/>
      <c r="O111" s="493"/>
      <c r="P111" s="493"/>
      <c r="Q111" s="493"/>
      <c r="R111" s="494"/>
      <c r="S111" s="501" t="s">
        <v>49</v>
      </c>
      <c r="T111" s="511">
        <f>TRUNC((SUM(R112:R115)),2)</f>
        <v>5.7</v>
      </c>
    </row>
    <row r="112" spans="1:20">
      <c r="A112" s="499"/>
      <c r="B112" s="82"/>
      <c r="C112" s="82"/>
      <c r="D112" s="82"/>
      <c r="E112" s="82"/>
      <c r="F112" s="260">
        <v>1.5</v>
      </c>
      <c r="G112" s="82"/>
      <c r="H112" s="97"/>
      <c r="I112" s="82"/>
      <c r="J112" s="82"/>
      <c r="K112" s="82"/>
      <c r="L112" s="82"/>
      <c r="M112" s="82"/>
      <c r="N112" s="82"/>
      <c r="O112" s="82"/>
      <c r="P112" s="82"/>
      <c r="Q112" s="82"/>
      <c r="R112" s="260">
        <f>F112</f>
        <v>1.5</v>
      </c>
      <c r="S112" s="502"/>
      <c r="T112" s="512"/>
    </row>
    <row r="113" spans="1:20">
      <c r="A113" s="499"/>
      <c r="B113" s="82"/>
      <c r="C113" s="82"/>
      <c r="D113" s="82"/>
      <c r="E113" s="82"/>
      <c r="F113" s="275">
        <v>1.6</v>
      </c>
      <c r="G113" s="82"/>
      <c r="H113" s="97"/>
      <c r="I113" s="82"/>
      <c r="J113" s="82"/>
      <c r="K113" s="82"/>
      <c r="L113" s="82"/>
      <c r="M113" s="82"/>
      <c r="N113" s="82"/>
      <c r="O113" s="82"/>
      <c r="P113" s="82"/>
      <c r="Q113" s="82"/>
      <c r="R113" s="260">
        <f>F113</f>
        <v>1.6</v>
      </c>
      <c r="S113" s="502"/>
      <c r="T113" s="512"/>
    </row>
    <row r="114" spans="1:20">
      <c r="A114" s="499"/>
      <c r="B114" s="82"/>
      <c r="C114" s="82"/>
      <c r="D114" s="82"/>
      <c r="E114" s="82"/>
      <c r="F114" s="275">
        <v>1</v>
      </c>
      <c r="G114" s="82"/>
      <c r="H114" s="97"/>
      <c r="I114" s="82"/>
      <c r="J114" s="82"/>
      <c r="K114" s="82"/>
      <c r="L114" s="82"/>
      <c r="M114" s="82"/>
      <c r="N114" s="82"/>
      <c r="O114" s="82"/>
      <c r="P114" s="82"/>
      <c r="Q114" s="82"/>
      <c r="R114" s="260">
        <f>F114</f>
        <v>1</v>
      </c>
      <c r="S114" s="502"/>
      <c r="T114" s="512"/>
    </row>
    <row r="115" spans="1:20" ht="15.75" thickBot="1">
      <c r="A115" s="499"/>
      <c r="B115" s="82"/>
      <c r="C115" s="82"/>
      <c r="D115" s="82"/>
      <c r="E115" s="82"/>
      <c r="F115" s="275">
        <v>1.6</v>
      </c>
      <c r="G115" s="82"/>
      <c r="H115" s="97"/>
      <c r="I115" s="82"/>
      <c r="J115" s="82"/>
      <c r="K115" s="82"/>
      <c r="L115" s="82"/>
      <c r="M115" s="82"/>
      <c r="N115" s="82"/>
      <c r="O115" s="82"/>
      <c r="P115" s="82"/>
      <c r="Q115" s="82"/>
      <c r="R115" s="260">
        <f>F115</f>
        <v>1.6</v>
      </c>
      <c r="S115" s="502"/>
      <c r="T115" s="512"/>
    </row>
    <row r="116" spans="1:20" ht="15.75" customHeight="1" thickBot="1">
      <c r="A116" s="490" t="s">
        <v>923</v>
      </c>
      <c r="B116" s="492" t="str">
        <f>PLANILHA!C279</f>
        <v xml:space="preserve">REDUÇÃO, PVC, SOLDÁVEL, DN 110MM PARA DN 75MM, INSTALADO EM RAMAL OU SUB-RAMAL DE ÁGUA - FORNECIMENTO E INSTALAÇÃO. </v>
      </c>
      <c r="C116" s="493"/>
      <c r="D116" s="493"/>
      <c r="E116" s="493"/>
      <c r="F116" s="493"/>
      <c r="G116" s="493"/>
      <c r="H116" s="493"/>
      <c r="I116" s="493"/>
      <c r="J116" s="493"/>
      <c r="K116" s="493"/>
      <c r="L116" s="493"/>
      <c r="M116" s="493"/>
      <c r="N116" s="493"/>
      <c r="O116" s="493"/>
      <c r="P116" s="493"/>
      <c r="Q116" s="493"/>
      <c r="R116" s="494"/>
      <c r="S116" s="495" t="s">
        <v>340</v>
      </c>
      <c r="T116" s="497">
        <f>D117</f>
        <v>2</v>
      </c>
    </row>
    <row r="117" spans="1:20" ht="15.75" customHeight="1" thickBot="1">
      <c r="A117" s="499"/>
      <c r="B117" s="82" t="s">
        <v>1145</v>
      </c>
      <c r="C117" s="82"/>
      <c r="D117" s="82">
        <v>2</v>
      </c>
      <c r="E117" s="82"/>
      <c r="F117" s="260"/>
      <c r="G117" s="82"/>
      <c r="H117" s="97"/>
      <c r="I117" s="82"/>
      <c r="J117" s="82"/>
      <c r="K117" s="82"/>
      <c r="L117" s="82"/>
      <c r="M117" s="82"/>
      <c r="N117" s="82"/>
      <c r="O117" s="82"/>
      <c r="P117" s="82"/>
      <c r="Q117" s="82"/>
      <c r="R117" s="82"/>
      <c r="S117" s="495"/>
      <c r="T117" s="504"/>
    </row>
    <row r="118" spans="1:20" ht="15.75" customHeight="1" thickBot="1">
      <c r="A118" s="490" t="s">
        <v>924</v>
      </c>
      <c r="B118" s="492" t="str">
        <f>PLANILHA!C280</f>
        <v>CURVA 90 GRAUS, PVC, SOLDÁVEL, DN 75MM, INSTALADO EM PRUMADA DE ÁGUA - FORNECIMENTO E INSTALAÇÃO. AF_06/2022</v>
      </c>
      <c r="C118" s="493"/>
      <c r="D118" s="493"/>
      <c r="E118" s="493"/>
      <c r="F118" s="493"/>
      <c r="G118" s="493"/>
      <c r="H118" s="493"/>
      <c r="I118" s="493"/>
      <c r="J118" s="493"/>
      <c r="K118" s="493"/>
      <c r="L118" s="493"/>
      <c r="M118" s="493"/>
      <c r="N118" s="493"/>
      <c r="O118" s="493"/>
      <c r="P118" s="493"/>
      <c r="Q118" s="493"/>
      <c r="R118" s="494"/>
      <c r="S118" s="495" t="s">
        <v>340</v>
      </c>
      <c r="T118" s="497">
        <f>D119</f>
        <v>4</v>
      </c>
    </row>
    <row r="119" spans="1:20" ht="15.75" customHeight="1" thickBot="1">
      <c r="A119" s="499"/>
      <c r="B119" s="82" t="s">
        <v>1145</v>
      </c>
      <c r="C119" s="82"/>
      <c r="D119" s="82">
        <v>4</v>
      </c>
      <c r="E119" s="82"/>
      <c r="F119" s="260"/>
      <c r="G119" s="82"/>
      <c r="H119" s="97"/>
      <c r="I119" s="82"/>
      <c r="J119" s="82"/>
      <c r="K119" s="82"/>
      <c r="L119" s="82"/>
      <c r="M119" s="82"/>
      <c r="N119" s="82"/>
      <c r="O119" s="82"/>
      <c r="P119" s="82"/>
      <c r="Q119" s="82"/>
      <c r="R119" s="82"/>
      <c r="S119" s="495"/>
      <c r="T119" s="504"/>
    </row>
    <row r="120" spans="1:20" ht="15.75" customHeight="1" thickBot="1">
      <c r="A120" s="490" t="s">
        <v>925</v>
      </c>
      <c r="B120" s="492" t="str">
        <f>PLANILHA!C281</f>
        <v>TE, PVC, SOLDÁVEL, DN 75MM, INSTALADO EM PRUMADA DE ÁGUA - FORNECIMENTO E INSTALAÇÃO. AF_06/2022</v>
      </c>
      <c r="C120" s="493"/>
      <c r="D120" s="493"/>
      <c r="E120" s="493"/>
      <c r="F120" s="493"/>
      <c r="G120" s="493"/>
      <c r="H120" s="493"/>
      <c r="I120" s="493"/>
      <c r="J120" s="493"/>
      <c r="K120" s="493"/>
      <c r="L120" s="493"/>
      <c r="M120" s="493"/>
      <c r="N120" s="493"/>
      <c r="O120" s="493"/>
      <c r="P120" s="493"/>
      <c r="Q120" s="493"/>
      <c r="R120" s="494"/>
      <c r="S120" s="495" t="s">
        <v>340</v>
      </c>
      <c r="T120" s="497">
        <f>D121</f>
        <v>15</v>
      </c>
    </row>
    <row r="121" spans="1:20" ht="15.75" customHeight="1" thickBot="1">
      <c r="A121" s="499"/>
      <c r="B121" s="82" t="s">
        <v>1145</v>
      </c>
      <c r="C121" s="82"/>
      <c r="D121" s="82">
        <f>3+(4*3)</f>
        <v>15</v>
      </c>
      <c r="E121" s="82"/>
      <c r="F121" s="260"/>
      <c r="G121" s="82"/>
      <c r="H121" s="97"/>
      <c r="I121" s="82"/>
      <c r="J121" s="82"/>
      <c r="K121" s="82"/>
      <c r="L121" s="82"/>
      <c r="M121" s="82"/>
      <c r="N121" s="82"/>
      <c r="O121" s="82"/>
      <c r="P121" s="82"/>
      <c r="Q121" s="82"/>
      <c r="R121" s="82"/>
      <c r="S121" s="495"/>
      <c r="T121" s="504"/>
    </row>
    <row r="122" spans="1:20" ht="15.75" customHeight="1" thickBot="1">
      <c r="A122" s="490" t="s">
        <v>926</v>
      </c>
      <c r="B122" s="492" t="str">
        <f>PLANILHA!C282</f>
        <v xml:space="preserve">REDUÇÃO, PVC, SOLDÁVEL, DN 75MM PARA DN 50MM, INSTALADO EM RAMAL OU SUB-RAMAL DE ÁGUA - FORNECIMENTO E INSTALAÇÃO. </v>
      </c>
      <c r="C122" s="493"/>
      <c r="D122" s="493"/>
      <c r="E122" s="493"/>
      <c r="F122" s="493"/>
      <c r="G122" s="493"/>
      <c r="H122" s="493"/>
      <c r="I122" s="493"/>
      <c r="J122" s="493"/>
      <c r="K122" s="493"/>
      <c r="L122" s="493"/>
      <c r="M122" s="493"/>
      <c r="N122" s="493"/>
      <c r="O122" s="493"/>
      <c r="P122" s="493"/>
      <c r="Q122" s="493"/>
      <c r="R122" s="494"/>
      <c r="S122" s="495" t="s">
        <v>340</v>
      </c>
      <c r="T122" s="497">
        <f>D123</f>
        <v>12</v>
      </c>
    </row>
    <row r="123" spans="1:20" ht="15.75" customHeight="1" thickBot="1">
      <c r="A123" s="499"/>
      <c r="B123" s="82" t="s">
        <v>1145</v>
      </c>
      <c r="C123" s="82"/>
      <c r="D123" s="82">
        <f>3*4</f>
        <v>12</v>
      </c>
      <c r="E123" s="82"/>
      <c r="F123" s="260"/>
      <c r="G123" s="82"/>
      <c r="H123" s="97"/>
      <c r="I123" s="82"/>
      <c r="J123" s="82"/>
      <c r="K123" s="82"/>
      <c r="L123" s="82"/>
      <c r="M123" s="82"/>
      <c r="N123" s="82"/>
      <c r="O123" s="82"/>
      <c r="P123" s="82"/>
      <c r="Q123" s="82"/>
      <c r="R123" s="82"/>
      <c r="S123" s="495"/>
      <c r="T123" s="504"/>
    </row>
    <row r="124" spans="1:20" ht="15.75" customHeight="1" thickBot="1">
      <c r="A124" s="490" t="s">
        <v>927</v>
      </c>
      <c r="B124" s="492" t="str">
        <f>PLANILHA!C283</f>
        <v xml:space="preserve">REDUÇÃO, PVC, SOLDÁVEL, DN 75MM PARA DN 60MM, INSTALADO EM RAMAL OU SUB-RAMAL DE ÁGUA - FORNECIMENTO E INSTALAÇÃO. </v>
      </c>
      <c r="C124" s="493"/>
      <c r="D124" s="493"/>
      <c r="E124" s="493"/>
      <c r="F124" s="493"/>
      <c r="G124" s="493"/>
      <c r="H124" s="493"/>
      <c r="I124" s="493"/>
      <c r="J124" s="493"/>
      <c r="K124" s="493"/>
      <c r="L124" s="493"/>
      <c r="M124" s="493"/>
      <c r="N124" s="493"/>
      <c r="O124" s="493"/>
      <c r="P124" s="493"/>
      <c r="Q124" s="493"/>
      <c r="R124" s="494"/>
      <c r="S124" s="495" t="s">
        <v>340</v>
      </c>
      <c r="T124" s="497">
        <f>D125</f>
        <v>3</v>
      </c>
    </row>
    <row r="125" spans="1:20" ht="15.75" customHeight="1" thickBot="1">
      <c r="A125" s="499"/>
      <c r="B125" s="82"/>
      <c r="C125" s="82"/>
      <c r="D125" s="82">
        <f>3*1</f>
        <v>3</v>
      </c>
      <c r="E125" s="82"/>
      <c r="F125" s="260"/>
      <c r="G125" s="82"/>
      <c r="H125" s="97"/>
      <c r="I125" s="82"/>
      <c r="J125" s="82"/>
      <c r="K125" s="82"/>
      <c r="L125" s="82"/>
      <c r="M125" s="82"/>
      <c r="N125" s="82"/>
      <c r="O125" s="82"/>
      <c r="P125" s="82"/>
      <c r="Q125" s="82"/>
      <c r="R125" s="82"/>
      <c r="S125" s="495"/>
      <c r="T125" s="504"/>
    </row>
    <row r="126" spans="1:20" ht="15.75" customHeight="1" thickBot="1">
      <c r="A126" s="490" t="s">
        <v>928</v>
      </c>
      <c r="B126" s="492" t="str">
        <f>PLANILHA!C284</f>
        <v>TE, PVC, SOLDÁVEL, DN 60MM, INSTALADO EM PRUMADA DE ÁGUA - FORNECIMENTO E INSTALAÇÃO. AF_06/2022</v>
      </c>
      <c r="C126" s="493"/>
      <c r="D126" s="493"/>
      <c r="E126" s="493"/>
      <c r="F126" s="493"/>
      <c r="G126" s="493"/>
      <c r="H126" s="493"/>
      <c r="I126" s="493"/>
      <c r="J126" s="493"/>
      <c r="K126" s="493"/>
      <c r="L126" s="493"/>
      <c r="M126" s="493"/>
      <c r="N126" s="493"/>
      <c r="O126" s="493"/>
      <c r="P126" s="493"/>
      <c r="Q126" s="493"/>
      <c r="R126" s="494"/>
      <c r="S126" s="495" t="s">
        <v>340</v>
      </c>
      <c r="T126" s="497">
        <f>D127</f>
        <v>3</v>
      </c>
    </row>
    <row r="127" spans="1:20" ht="15.75" customHeight="1" thickBot="1">
      <c r="A127" s="499"/>
      <c r="B127" s="82"/>
      <c r="C127" s="82"/>
      <c r="D127" s="82">
        <f>3*1</f>
        <v>3</v>
      </c>
      <c r="E127" s="82"/>
      <c r="F127" s="260"/>
      <c r="G127" s="82"/>
      <c r="H127" s="97"/>
      <c r="I127" s="82"/>
      <c r="J127" s="82"/>
      <c r="K127" s="82"/>
      <c r="L127" s="82"/>
      <c r="M127" s="82"/>
      <c r="N127" s="82"/>
      <c r="O127" s="82"/>
      <c r="P127" s="82"/>
      <c r="Q127" s="82"/>
      <c r="R127" s="82"/>
      <c r="S127" s="495"/>
      <c r="T127" s="504"/>
    </row>
    <row r="128" spans="1:20" ht="15.75" customHeight="1" thickBot="1">
      <c r="A128" s="490" t="s">
        <v>929</v>
      </c>
      <c r="B128" s="492" t="str">
        <f>PLANILHA!C285</f>
        <v>LUVA DE REDUÇÃO, PVC, SOLDÁVEL, DN 60MM X 50MM, INSTALADO EM PRUMADA DE ÁGUA - FORNECIMENTO E INSTALAÇÃO. AF_06/2022</v>
      </c>
      <c r="C128" s="493"/>
      <c r="D128" s="493"/>
      <c r="E128" s="493"/>
      <c r="F128" s="493"/>
      <c r="G128" s="493"/>
      <c r="H128" s="493"/>
      <c r="I128" s="493"/>
      <c r="J128" s="493"/>
      <c r="K128" s="493"/>
      <c r="L128" s="493"/>
      <c r="M128" s="493"/>
      <c r="N128" s="493"/>
      <c r="O128" s="493"/>
      <c r="P128" s="493"/>
      <c r="Q128" s="493"/>
      <c r="R128" s="494"/>
      <c r="S128" s="495" t="s">
        <v>340</v>
      </c>
      <c r="T128" s="497">
        <f>D129</f>
        <v>6</v>
      </c>
    </row>
    <row r="129" spans="1:20" ht="15.75" customHeight="1" thickBot="1">
      <c r="A129" s="499"/>
      <c r="B129" s="82"/>
      <c r="C129" s="82"/>
      <c r="D129" s="82">
        <f>3*2</f>
        <v>6</v>
      </c>
      <c r="E129" s="82"/>
      <c r="F129" s="260"/>
      <c r="G129" s="82"/>
      <c r="H129" s="97"/>
      <c r="I129" s="82"/>
      <c r="J129" s="82"/>
      <c r="K129" s="82"/>
      <c r="L129" s="82"/>
      <c r="M129" s="82"/>
      <c r="N129" s="82"/>
      <c r="O129" s="82"/>
      <c r="P129" s="82"/>
      <c r="Q129" s="82"/>
      <c r="R129" s="82"/>
      <c r="S129" s="495"/>
      <c r="T129" s="504"/>
    </row>
    <row r="130" spans="1:20" ht="15.75" customHeight="1" thickBot="1">
      <c r="A130" s="490" t="s">
        <v>930</v>
      </c>
      <c r="B130" s="492" t="str">
        <f>PLANILHA!C286</f>
        <v>CURVA 90 GRAUS, PVC, SOLDÁVEL, DN 50MM, INSTALADO EM RAMAL DE DISTRIBUIÇÃO DE ÁGUA - FORNECIMENTO E INSTALAÇÃO. AF_06/2022</v>
      </c>
      <c r="C130" s="493"/>
      <c r="D130" s="493"/>
      <c r="E130" s="493"/>
      <c r="F130" s="493"/>
      <c r="G130" s="493"/>
      <c r="H130" s="493"/>
      <c r="I130" s="493"/>
      <c r="J130" s="493"/>
      <c r="K130" s="493"/>
      <c r="L130" s="493"/>
      <c r="M130" s="493"/>
      <c r="N130" s="493"/>
      <c r="O130" s="493"/>
      <c r="P130" s="493"/>
      <c r="Q130" s="493"/>
      <c r="R130" s="494"/>
      <c r="S130" s="495" t="s">
        <v>340</v>
      </c>
      <c r="T130" s="497">
        <f>D131</f>
        <v>3</v>
      </c>
    </row>
    <row r="131" spans="1:20" ht="15.75" customHeight="1" thickBot="1">
      <c r="A131" s="499"/>
      <c r="B131" s="82"/>
      <c r="C131" s="82"/>
      <c r="D131" s="82">
        <f>3*1</f>
        <v>3</v>
      </c>
      <c r="E131" s="82"/>
      <c r="F131" s="260"/>
      <c r="G131" s="82"/>
      <c r="H131" s="97"/>
      <c r="I131" s="82"/>
      <c r="J131" s="82"/>
      <c r="K131" s="82"/>
      <c r="L131" s="82"/>
      <c r="M131" s="82"/>
      <c r="N131" s="82"/>
      <c r="O131" s="82"/>
      <c r="P131" s="82"/>
      <c r="Q131" s="82"/>
      <c r="R131" s="82"/>
      <c r="S131" s="495"/>
      <c r="T131" s="504"/>
    </row>
    <row r="132" spans="1:20">
      <c r="A132" s="490" t="s">
        <v>931</v>
      </c>
      <c r="B132" s="492" t="str">
        <f>PLANILHA!C287</f>
        <v>Tubo de PVC rígido soldável marrom, diâm. 75mm (21/2"), inclusive conexões</v>
      </c>
      <c r="C132" s="493"/>
      <c r="D132" s="493"/>
      <c r="E132" s="493"/>
      <c r="F132" s="493"/>
      <c r="G132" s="493"/>
      <c r="H132" s="493"/>
      <c r="I132" s="493"/>
      <c r="J132" s="493"/>
      <c r="K132" s="493"/>
      <c r="L132" s="493"/>
      <c r="M132" s="493"/>
      <c r="N132" s="493"/>
      <c r="O132" s="493"/>
      <c r="P132" s="493"/>
      <c r="Q132" s="493"/>
      <c r="R132" s="494"/>
      <c r="S132" s="501" t="s">
        <v>49</v>
      </c>
      <c r="T132" s="511">
        <f>TRUNC((SUM(R133:R137)),2)</f>
        <v>13.5</v>
      </c>
    </row>
    <row r="133" spans="1:20">
      <c r="A133" s="499"/>
      <c r="B133" s="82"/>
      <c r="C133" s="82"/>
      <c r="D133" s="82"/>
      <c r="E133" s="82"/>
      <c r="F133" s="260">
        <v>1</v>
      </c>
      <c r="G133" s="82"/>
      <c r="H133" s="97"/>
      <c r="I133" s="82"/>
      <c r="J133" s="82"/>
      <c r="K133" s="82"/>
      <c r="L133" s="82"/>
      <c r="M133" s="82"/>
      <c r="N133" s="82"/>
      <c r="O133" s="82"/>
      <c r="P133" s="82"/>
      <c r="Q133" s="82"/>
      <c r="R133" s="260">
        <f>F133</f>
        <v>1</v>
      </c>
      <c r="S133" s="502"/>
      <c r="T133" s="512"/>
    </row>
    <row r="134" spans="1:20">
      <c r="A134" s="499"/>
      <c r="B134" s="82"/>
      <c r="C134" s="82"/>
      <c r="D134" s="82"/>
      <c r="E134" s="82"/>
      <c r="F134" s="275">
        <v>0.6</v>
      </c>
      <c r="G134" s="82"/>
      <c r="H134" s="97"/>
      <c r="I134" s="82"/>
      <c r="J134" s="82"/>
      <c r="K134" s="82"/>
      <c r="L134" s="82"/>
      <c r="M134" s="82"/>
      <c r="N134" s="82"/>
      <c r="O134" s="82"/>
      <c r="P134" s="82"/>
      <c r="Q134" s="82"/>
      <c r="R134" s="260">
        <f>F134</f>
        <v>0.6</v>
      </c>
      <c r="S134" s="502"/>
      <c r="T134" s="512"/>
    </row>
    <row r="135" spans="1:20">
      <c r="A135" s="499"/>
      <c r="B135" s="82"/>
      <c r="C135" s="82"/>
      <c r="D135" s="82"/>
      <c r="E135" s="82"/>
      <c r="F135" s="275">
        <v>0.6</v>
      </c>
      <c r="G135" s="82"/>
      <c r="H135" s="97"/>
      <c r="I135" s="82"/>
      <c r="J135" s="82"/>
      <c r="K135" s="82"/>
      <c r="L135" s="82"/>
      <c r="M135" s="82"/>
      <c r="N135" s="82"/>
      <c r="O135" s="82"/>
      <c r="P135" s="82"/>
      <c r="Q135" s="82"/>
      <c r="R135" s="260">
        <f>F135</f>
        <v>0.6</v>
      </c>
      <c r="S135" s="502"/>
      <c r="T135" s="512"/>
    </row>
    <row r="136" spans="1:20">
      <c r="A136" s="499"/>
      <c r="B136" s="82"/>
      <c r="C136" s="82"/>
      <c r="D136" s="82"/>
      <c r="E136" s="82"/>
      <c r="F136" s="275">
        <v>2</v>
      </c>
      <c r="G136" s="82"/>
      <c r="H136" s="97"/>
      <c r="I136" s="82"/>
      <c r="J136" s="82"/>
      <c r="K136" s="82"/>
      <c r="L136" s="82"/>
      <c r="M136" s="82"/>
      <c r="N136" s="82"/>
      <c r="O136" s="82"/>
      <c r="P136" s="82"/>
      <c r="Q136" s="82"/>
      <c r="R136" s="260">
        <f>F136</f>
        <v>2</v>
      </c>
      <c r="S136" s="502"/>
      <c r="T136" s="512"/>
    </row>
    <row r="137" spans="1:20" ht="15.75" thickBot="1">
      <c r="A137" s="499"/>
      <c r="B137" s="272"/>
      <c r="C137" s="82"/>
      <c r="D137" s="82">
        <v>3</v>
      </c>
      <c r="E137" s="82"/>
      <c r="F137" s="275">
        <v>3.1</v>
      </c>
      <c r="G137" s="82"/>
      <c r="H137" s="97"/>
      <c r="I137" s="82"/>
      <c r="J137" s="82"/>
      <c r="K137" s="82"/>
      <c r="L137" s="82"/>
      <c r="M137" s="82"/>
      <c r="N137" s="82"/>
      <c r="O137" s="82"/>
      <c r="P137" s="82"/>
      <c r="Q137" s="82"/>
      <c r="R137" s="260">
        <f>F137*D137</f>
        <v>9.3000000000000007</v>
      </c>
      <c r="S137" s="502"/>
      <c r="T137" s="512"/>
    </row>
    <row r="138" spans="1:20">
      <c r="A138" s="490" t="s">
        <v>932</v>
      </c>
      <c r="B138" s="492" t="str">
        <f>PLANILHA!C288</f>
        <v>Tubo de PVC rígido soldável marrom, diâm. 60mm (2"), inclusive conexões</v>
      </c>
      <c r="C138" s="493"/>
      <c r="D138" s="493"/>
      <c r="E138" s="493"/>
      <c r="F138" s="493"/>
      <c r="G138" s="493"/>
      <c r="H138" s="493"/>
      <c r="I138" s="493"/>
      <c r="J138" s="493"/>
      <c r="K138" s="493"/>
      <c r="L138" s="493"/>
      <c r="M138" s="493"/>
      <c r="N138" s="493"/>
      <c r="O138" s="493"/>
      <c r="P138" s="493"/>
      <c r="Q138" s="493"/>
      <c r="R138" s="494"/>
      <c r="S138" s="501" t="s">
        <v>49</v>
      </c>
      <c r="T138" s="511">
        <f>TRUNC((SUM(R139:R139)),2)</f>
        <v>3</v>
      </c>
    </row>
    <row r="139" spans="1:20" ht="15.75" thickBot="1">
      <c r="A139" s="499"/>
      <c r="B139" s="272"/>
      <c r="C139" s="82"/>
      <c r="D139" s="82">
        <v>3</v>
      </c>
      <c r="E139" s="82"/>
      <c r="F139" s="275">
        <v>1</v>
      </c>
      <c r="G139" s="82"/>
      <c r="H139" s="97"/>
      <c r="I139" s="82"/>
      <c r="J139" s="82"/>
      <c r="K139" s="82"/>
      <c r="L139" s="82"/>
      <c r="M139" s="82"/>
      <c r="N139" s="82"/>
      <c r="O139" s="82"/>
      <c r="P139" s="82"/>
      <c r="Q139" s="82"/>
      <c r="R139" s="260">
        <f>F139*D139</f>
        <v>3</v>
      </c>
      <c r="S139" s="502"/>
      <c r="T139" s="512"/>
    </row>
    <row r="140" spans="1:20">
      <c r="A140" s="490" t="s">
        <v>933</v>
      </c>
      <c r="B140" s="492" t="str">
        <f>PLANILHA!C289</f>
        <v>Tubo de PVC rígido soldável marrom, diâm. 50mm (11/2"), inclusive conexões</v>
      </c>
      <c r="C140" s="493"/>
      <c r="D140" s="493"/>
      <c r="E140" s="493"/>
      <c r="F140" s="493"/>
      <c r="G140" s="493"/>
      <c r="H140" s="493"/>
      <c r="I140" s="493"/>
      <c r="J140" s="493"/>
      <c r="K140" s="493"/>
      <c r="L140" s="493"/>
      <c r="M140" s="493"/>
      <c r="N140" s="493"/>
      <c r="O140" s="493"/>
      <c r="P140" s="493"/>
      <c r="Q140" s="493"/>
      <c r="R140" s="494"/>
      <c r="S140" s="501" t="s">
        <v>49</v>
      </c>
      <c r="T140" s="511">
        <f>TRUNC((SUM(R141:R142)),2)</f>
        <v>21</v>
      </c>
    </row>
    <row r="141" spans="1:20">
      <c r="A141" s="499"/>
      <c r="B141" s="82"/>
      <c r="C141" s="82"/>
      <c r="D141" s="82">
        <v>3</v>
      </c>
      <c r="E141" s="82"/>
      <c r="F141" s="260">
        <v>1</v>
      </c>
      <c r="G141" s="82"/>
      <c r="H141" s="97"/>
      <c r="I141" s="82"/>
      <c r="J141" s="82"/>
      <c r="K141" s="82"/>
      <c r="L141" s="82"/>
      <c r="M141" s="82"/>
      <c r="N141" s="82"/>
      <c r="O141" s="82"/>
      <c r="P141" s="82"/>
      <c r="Q141" s="82"/>
      <c r="R141" s="260">
        <f>F141*D141</f>
        <v>3</v>
      </c>
      <c r="S141" s="502"/>
      <c r="T141" s="512"/>
    </row>
    <row r="142" spans="1:20" ht="15.75" thickBot="1">
      <c r="A142" s="499"/>
      <c r="B142" s="82"/>
      <c r="C142" s="82"/>
      <c r="D142" s="82">
        <v>18</v>
      </c>
      <c r="E142" s="82"/>
      <c r="F142" s="275">
        <v>1</v>
      </c>
      <c r="G142" s="82"/>
      <c r="H142" s="97"/>
      <c r="I142" s="82"/>
      <c r="J142" s="82"/>
      <c r="K142" s="82"/>
      <c r="L142" s="82"/>
      <c r="M142" s="82"/>
      <c r="N142" s="82"/>
      <c r="O142" s="82"/>
      <c r="P142" s="82"/>
      <c r="Q142" s="82"/>
      <c r="R142" s="260">
        <f>F142*D142</f>
        <v>18</v>
      </c>
      <c r="S142" s="502"/>
      <c r="T142" s="512"/>
    </row>
    <row r="143" spans="1:20" ht="15.75" customHeight="1" thickBot="1">
      <c r="A143" s="490" t="s">
        <v>934</v>
      </c>
      <c r="B143" s="492" t="str">
        <f>PLANILHA!C290</f>
        <v>LUVA DE REDUÇÃO, PVC, SOLDÁVEL, DN 50MM X 25MM, INSTALADO EM PRUMADA DE ÁGUA FORNECIMENTO E INSTALAÇÃO. AF_06/2022</v>
      </c>
      <c r="C143" s="493"/>
      <c r="D143" s="493"/>
      <c r="E143" s="493"/>
      <c r="F143" s="493"/>
      <c r="G143" s="493"/>
      <c r="H143" s="493"/>
      <c r="I143" s="493"/>
      <c r="J143" s="493"/>
      <c r="K143" s="493"/>
      <c r="L143" s="493"/>
      <c r="M143" s="493"/>
      <c r="N143" s="493"/>
      <c r="O143" s="493"/>
      <c r="P143" s="493"/>
      <c r="Q143" s="493"/>
      <c r="R143" s="494"/>
      <c r="S143" s="495" t="s">
        <v>340</v>
      </c>
      <c r="T143" s="497">
        <f>D144</f>
        <v>18</v>
      </c>
    </row>
    <row r="144" spans="1:20" ht="15.75" customHeight="1" thickBot="1">
      <c r="A144" s="499"/>
      <c r="B144" s="82"/>
      <c r="C144" s="82"/>
      <c r="D144" s="82">
        <f>6*3</f>
        <v>18</v>
      </c>
      <c r="E144" s="82"/>
      <c r="F144" s="260"/>
      <c r="G144" s="82"/>
      <c r="H144" s="97"/>
      <c r="I144" s="82"/>
      <c r="J144" s="82"/>
      <c r="K144" s="82"/>
      <c r="L144" s="82"/>
      <c r="M144" s="82"/>
      <c r="N144" s="82"/>
      <c r="O144" s="82"/>
      <c r="P144" s="82"/>
      <c r="Q144" s="82"/>
      <c r="R144" s="82"/>
      <c r="S144" s="495"/>
      <c r="T144" s="504"/>
    </row>
    <row r="145" spans="1:20" ht="15.75" customHeight="1" thickBot="1">
      <c r="A145" s="490" t="s">
        <v>935</v>
      </c>
      <c r="B145" s="492" t="str">
        <f>PLANILHA!C291</f>
        <v>Registro de gaveta bruto diam. 20mm (3/4")</v>
      </c>
      <c r="C145" s="493"/>
      <c r="D145" s="493"/>
      <c r="E145" s="493"/>
      <c r="F145" s="493"/>
      <c r="G145" s="493"/>
      <c r="H145" s="493"/>
      <c r="I145" s="493"/>
      <c r="J145" s="493"/>
      <c r="K145" s="493"/>
      <c r="L145" s="493"/>
      <c r="M145" s="493"/>
      <c r="N145" s="493"/>
      <c r="O145" s="493"/>
      <c r="P145" s="493"/>
      <c r="Q145" s="493"/>
      <c r="R145" s="494"/>
      <c r="S145" s="495" t="s">
        <v>340</v>
      </c>
      <c r="T145" s="497">
        <f>D146</f>
        <v>18</v>
      </c>
    </row>
    <row r="146" spans="1:20" ht="15.75" customHeight="1" thickBot="1">
      <c r="A146" s="499"/>
      <c r="B146" s="82"/>
      <c r="C146" s="82"/>
      <c r="D146" s="82">
        <f>6*3</f>
        <v>18</v>
      </c>
      <c r="E146" s="82"/>
      <c r="F146" s="260"/>
      <c r="G146" s="82"/>
      <c r="H146" s="97"/>
      <c r="I146" s="82"/>
      <c r="J146" s="82"/>
      <c r="K146" s="82"/>
      <c r="L146" s="82"/>
      <c r="M146" s="82"/>
      <c r="N146" s="82"/>
      <c r="O146" s="82"/>
      <c r="P146" s="82"/>
      <c r="Q146" s="82"/>
      <c r="R146" s="82"/>
      <c r="S146" s="495"/>
      <c r="T146" s="504"/>
    </row>
    <row r="147" spans="1:20" ht="15.75" thickBot="1">
      <c r="A147" s="288" t="s">
        <v>943</v>
      </c>
      <c r="B147" s="262" t="s">
        <v>944</v>
      </c>
      <c r="C147" s="263"/>
      <c r="D147" s="263"/>
      <c r="E147" s="263"/>
      <c r="F147" s="263"/>
      <c r="G147" s="263"/>
      <c r="H147" s="263"/>
      <c r="I147" s="263"/>
      <c r="J147" s="263"/>
      <c r="K147" s="263"/>
      <c r="L147" s="263"/>
      <c r="M147" s="263"/>
      <c r="N147" s="263"/>
      <c r="O147" s="263"/>
      <c r="P147" s="263"/>
      <c r="Q147" s="263"/>
      <c r="R147" s="263"/>
      <c r="S147" s="287"/>
      <c r="T147" s="264"/>
    </row>
    <row r="148" spans="1:20" ht="15.75" thickBot="1">
      <c r="A148" s="516" t="s">
        <v>945</v>
      </c>
      <c r="B148" s="492" t="str">
        <f>PLANILHA!C293</f>
        <v>Escavação manual em material de 1a. categoria, até 1.50 m de profundidade</v>
      </c>
      <c r="C148" s="493"/>
      <c r="D148" s="493"/>
      <c r="E148" s="493"/>
      <c r="F148" s="493"/>
      <c r="G148" s="493"/>
      <c r="H148" s="493"/>
      <c r="I148" s="493"/>
      <c r="J148" s="493"/>
      <c r="K148" s="493"/>
      <c r="L148" s="493"/>
      <c r="M148" s="493"/>
      <c r="N148" s="493"/>
      <c r="O148" s="493"/>
      <c r="P148" s="493"/>
      <c r="Q148" s="493"/>
      <c r="R148" s="494"/>
      <c r="S148" s="495" t="s">
        <v>64</v>
      </c>
      <c r="T148" s="511">
        <f>P149</f>
        <v>22.14</v>
      </c>
    </row>
    <row r="149" spans="1:20" ht="15.75" thickBot="1">
      <c r="A149" s="499"/>
      <c r="B149" s="82"/>
      <c r="C149" s="82"/>
      <c r="D149" s="82"/>
      <c r="E149" s="82"/>
      <c r="F149" s="260">
        <f>T155</f>
        <v>73.8</v>
      </c>
      <c r="G149" s="82">
        <v>0.3</v>
      </c>
      <c r="H149" s="97">
        <v>1</v>
      </c>
      <c r="I149" s="82"/>
      <c r="J149" s="82"/>
      <c r="K149" s="82"/>
      <c r="L149" s="82"/>
      <c r="M149" s="82"/>
      <c r="N149" s="82"/>
      <c r="O149" s="82"/>
      <c r="P149" s="82">
        <f>TRUNC((F149*G149*H149),2)</f>
        <v>22.14</v>
      </c>
      <c r="Q149" s="82"/>
      <c r="R149" s="82"/>
      <c r="S149" s="495"/>
      <c r="T149" s="512"/>
    </row>
    <row r="150" spans="1:20" ht="15.75" thickBot="1">
      <c r="A150" s="490" t="s">
        <v>949</v>
      </c>
      <c r="B150" s="492" t="str">
        <f>PLANILHA!C294</f>
        <v>Reaterro apiloado de cavas de fundação, em camadas de 20 cm</v>
      </c>
      <c r="C150" s="493"/>
      <c r="D150" s="493"/>
      <c r="E150" s="493"/>
      <c r="F150" s="493"/>
      <c r="G150" s="493"/>
      <c r="H150" s="493"/>
      <c r="I150" s="493"/>
      <c r="J150" s="493"/>
      <c r="K150" s="493"/>
      <c r="L150" s="493"/>
      <c r="M150" s="493"/>
      <c r="N150" s="493"/>
      <c r="O150" s="493"/>
      <c r="P150" s="493"/>
      <c r="Q150" s="493"/>
      <c r="R150" s="494"/>
      <c r="S150" s="495" t="s">
        <v>64</v>
      </c>
      <c r="T150" s="511">
        <f>P151</f>
        <v>22.14</v>
      </c>
    </row>
    <row r="151" spans="1:20" ht="15.75" thickBot="1">
      <c r="A151" s="499"/>
      <c r="B151" s="82"/>
      <c r="C151" s="82"/>
      <c r="D151" s="82"/>
      <c r="E151" s="82"/>
      <c r="F151" s="260"/>
      <c r="G151" s="82"/>
      <c r="H151" s="97"/>
      <c r="I151" s="82"/>
      <c r="J151" s="82"/>
      <c r="K151" s="82"/>
      <c r="L151" s="82"/>
      <c r="M151" s="82"/>
      <c r="N151" s="82"/>
      <c r="O151" s="82"/>
      <c r="P151" s="82">
        <f>P149</f>
        <v>22.14</v>
      </c>
      <c r="Q151" s="82"/>
      <c r="R151" s="82"/>
      <c r="S151" s="495"/>
      <c r="T151" s="512"/>
    </row>
    <row r="152" spans="1:20">
      <c r="A152" s="490" t="s">
        <v>950</v>
      </c>
      <c r="B152" s="492" t="str">
        <f>PLANILHA!C295</f>
        <v>CURVA LONGA, 90 GRAUS, PVC OCRE, JUNTA ELÁSTICA, DN 150 MM, PARA COLETOR PREDIAL DE ESGOTO. AF_06/2022</v>
      </c>
      <c r="C152" s="493"/>
      <c r="D152" s="493"/>
      <c r="E152" s="493"/>
      <c r="F152" s="493"/>
      <c r="G152" s="493"/>
      <c r="H152" s="493"/>
      <c r="I152" s="493"/>
      <c r="J152" s="493"/>
      <c r="K152" s="493"/>
      <c r="L152" s="493"/>
      <c r="M152" s="493"/>
      <c r="N152" s="493"/>
      <c r="O152" s="493"/>
      <c r="P152" s="493"/>
      <c r="Q152" s="493"/>
      <c r="R152" s="494"/>
      <c r="S152" s="513" t="s">
        <v>340</v>
      </c>
      <c r="T152" s="497">
        <f>D153+D154</f>
        <v>24</v>
      </c>
    </row>
    <row r="153" spans="1:20">
      <c r="A153" s="499"/>
      <c r="B153" s="82" t="s">
        <v>1146</v>
      </c>
      <c r="C153" s="82"/>
      <c r="D153" s="82">
        <v>18</v>
      </c>
      <c r="E153" s="82"/>
      <c r="F153" s="260"/>
      <c r="G153" s="82"/>
      <c r="H153" s="97"/>
      <c r="I153" s="82"/>
      <c r="J153" s="82"/>
      <c r="K153" s="82"/>
      <c r="L153" s="82"/>
      <c r="M153" s="82"/>
      <c r="N153" s="82"/>
      <c r="O153" s="82"/>
      <c r="P153" s="82"/>
      <c r="Q153" s="82"/>
      <c r="R153" s="82"/>
      <c r="S153" s="514"/>
      <c r="T153" s="504"/>
    </row>
    <row r="154" spans="1:20" ht="15.75" thickBot="1">
      <c r="A154" s="500"/>
      <c r="B154" s="82" t="s">
        <v>1147</v>
      </c>
      <c r="C154" s="82"/>
      <c r="D154" s="82">
        <v>6</v>
      </c>
      <c r="E154" s="82"/>
      <c r="F154" s="260"/>
      <c r="G154" s="82"/>
      <c r="H154" s="97"/>
      <c r="I154" s="82"/>
      <c r="J154" s="82"/>
      <c r="K154" s="82"/>
      <c r="L154" s="82"/>
      <c r="M154" s="82"/>
      <c r="N154" s="82"/>
      <c r="O154" s="82"/>
      <c r="P154" s="82"/>
      <c r="Q154" s="82"/>
      <c r="R154" s="82"/>
      <c r="S154" s="515"/>
      <c r="T154" s="505"/>
    </row>
    <row r="155" spans="1:20">
      <c r="A155" s="490" t="s">
        <v>951</v>
      </c>
      <c r="B155" s="492" t="str">
        <f>PLANILHA!C296</f>
        <v>Tubo de PVC rígido soldável branco, para esgoto, diâmetro 150mm (6"), inclusive conexões</v>
      </c>
      <c r="C155" s="493"/>
      <c r="D155" s="493"/>
      <c r="E155" s="493"/>
      <c r="F155" s="493"/>
      <c r="G155" s="493"/>
      <c r="H155" s="493"/>
      <c r="I155" s="493"/>
      <c r="J155" s="493"/>
      <c r="K155" s="493"/>
      <c r="L155" s="493"/>
      <c r="M155" s="493"/>
      <c r="N155" s="493"/>
      <c r="O155" s="493"/>
      <c r="P155" s="493"/>
      <c r="Q155" s="493"/>
      <c r="R155" s="494"/>
      <c r="S155" s="501" t="s">
        <v>49</v>
      </c>
      <c r="T155" s="511">
        <f>TRUNC((SUM(R156:R164)),2)</f>
        <v>73.8</v>
      </c>
    </row>
    <row r="156" spans="1:20">
      <c r="A156" s="499"/>
      <c r="B156" s="82"/>
      <c r="C156" s="82"/>
      <c r="D156" s="82">
        <v>2</v>
      </c>
      <c r="E156" s="82"/>
      <c r="F156" s="260">
        <v>11.5</v>
      </c>
      <c r="G156" s="82"/>
      <c r="H156" s="97"/>
      <c r="I156" s="82"/>
      <c r="J156" s="82"/>
      <c r="K156" s="82"/>
      <c r="L156" s="82"/>
      <c r="M156" s="82"/>
      <c r="N156" s="82"/>
      <c r="O156" s="82"/>
      <c r="P156" s="82"/>
      <c r="Q156" s="82"/>
      <c r="R156" s="260">
        <f t="shared" ref="R156:R161" si="4">F156*D156</f>
        <v>23</v>
      </c>
      <c r="S156" s="502"/>
      <c r="T156" s="512"/>
    </row>
    <row r="157" spans="1:20">
      <c r="A157" s="499"/>
      <c r="B157" s="82"/>
      <c r="C157" s="82"/>
      <c r="D157" s="82">
        <v>2</v>
      </c>
      <c r="E157" s="82"/>
      <c r="F157" s="275">
        <v>9.5</v>
      </c>
      <c r="G157" s="82"/>
      <c r="H157" s="97"/>
      <c r="I157" s="82"/>
      <c r="J157" s="82"/>
      <c r="K157" s="82"/>
      <c r="L157" s="82"/>
      <c r="M157" s="82"/>
      <c r="N157" s="82"/>
      <c r="O157" s="82"/>
      <c r="P157" s="82"/>
      <c r="Q157" s="82"/>
      <c r="R157" s="260">
        <f t="shared" si="4"/>
        <v>19</v>
      </c>
      <c r="S157" s="502"/>
      <c r="T157" s="512"/>
    </row>
    <row r="158" spans="1:20">
      <c r="A158" s="499"/>
      <c r="B158" s="82"/>
      <c r="C158" s="82"/>
      <c r="D158" s="82">
        <v>2</v>
      </c>
      <c r="E158" s="82"/>
      <c r="F158" s="275">
        <v>7.8</v>
      </c>
      <c r="G158" s="82"/>
      <c r="H158" s="97"/>
      <c r="I158" s="82"/>
      <c r="J158" s="82"/>
      <c r="K158" s="82"/>
      <c r="L158" s="82"/>
      <c r="M158" s="82"/>
      <c r="N158" s="82"/>
      <c r="O158" s="82"/>
      <c r="P158" s="82"/>
      <c r="Q158" s="82"/>
      <c r="R158" s="260">
        <f t="shared" si="4"/>
        <v>15.6</v>
      </c>
      <c r="S158" s="502"/>
      <c r="T158" s="512"/>
    </row>
    <row r="159" spans="1:20">
      <c r="A159" s="499"/>
      <c r="B159" s="82"/>
      <c r="C159" s="82"/>
      <c r="D159" s="82">
        <v>2</v>
      </c>
      <c r="E159" s="82"/>
      <c r="F159" s="275">
        <v>1.1000000000000001</v>
      </c>
      <c r="G159" s="82"/>
      <c r="H159" s="97"/>
      <c r="I159" s="82"/>
      <c r="J159" s="82"/>
      <c r="K159" s="82"/>
      <c r="L159" s="82"/>
      <c r="M159" s="82"/>
      <c r="N159" s="82"/>
      <c r="O159" s="82"/>
      <c r="P159" s="82"/>
      <c r="Q159" s="82"/>
      <c r="R159" s="260">
        <f t="shared" si="4"/>
        <v>2.2000000000000002</v>
      </c>
      <c r="S159" s="502"/>
      <c r="T159" s="512"/>
    </row>
    <row r="160" spans="1:20">
      <c r="A160" s="499"/>
      <c r="B160" s="82"/>
      <c r="C160" s="82"/>
      <c r="D160" s="82">
        <v>2</v>
      </c>
      <c r="E160" s="82"/>
      <c r="F160" s="275">
        <v>1</v>
      </c>
      <c r="G160" s="82"/>
      <c r="H160" s="97"/>
      <c r="I160" s="82"/>
      <c r="J160" s="82"/>
      <c r="K160" s="82"/>
      <c r="L160" s="82"/>
      <c r="M160" s="82"/>
      <c r="N160" s="82"/>
      <c r="O160" s="82"/>
      <c r="P160" s="82"/>
      <c r="Q160" s="82"/>
      <c r="R160" s="260">
        <f t="shared" si="4"/>
        <v>2</v>
      </c>
      <c r="S160" s="502"/>
      <c r="T160" s="512"/>
    </row>
    <row r="161" spans="1:20">
      <c r="A161" s="499"/>
      <c r="B161" s="82"/>
      <c r="C161" s="82"/>
      <c r="D161" s="82">
        <v>2</v>
      </c>
      <c r="E161" s="82"/>
      <c r="F161" s="275">
        <v>0.9</v>
      </c>
      <c r="G161" s="82"/>
      <c r="H161" s="97"/>
      <c r="I161" s="82"/>
      <c r="J161" s="82"/>
      <c r="K161" s="82"/>
      <c r="L161" s="82"/>
      <c r="M161" s="82"/>
      <c r="N161" s="82"/>
      <c r="O161" s="82"/>
      <c r="P161" s="82"/>
      <c r="Q161" s="82"/>
      <c r="R161" s="260">
        <f t="shared" si="4"/>
        <v>1.8</v>
      </c>
      <c r="S161" s="502"/>
      <c r="T161" s="512"/>
    </row>
    <row r="162" spans="1:20">
      <c r="A162" s="499"/>
      <c r="B162" s="82"/>
      <c r="C162" s="82"/>
      <c r="D162" s="82"/>
      <c r="E162" s="82"/>
      <c r="F162" s="275">
        <v>3.8</v>
      </c>
      <c r="G162" s="82"/>
      <c r="H162" s="97"/>
      <c r="I162" s="82"/>
      <c r="J162" s="82"/>
      <c r="K162" s="82"/>
      <c r="L162" s="82"/>
      <c r="M162" s="82"/>
      <c r="N162" s="82"/>
      <c r="O162" s="82"/>
      <c r="P162" s="82"/>
      <c r="Q162" s="82"/>
      <c r="R162" s="260">
        <f>F162</f>
        <v>3.8</v>
      </c>
      <c r="S162" s="502"/>
      <c r="T162" s="512"/>
    </row>
    <row r="163" spans="1:20">
      <c r="A163" s="499"/>
      <c r="B163" s="82"/>
      <c r="C163" s="82"/>
      <c r="D163" s="82"/>
      <c r="E163" s="82"/>
      <c r="F163" s="275">
        <v>3.4</v>
      </c>
      <c r="G163" s="82"/>
      <c r="H163" s="97"/>
      <c r="I163" s="82"/>
      <c r="J163" s="82"/>
      <c r="K163" s="82"/>
      <c r="L163" s="82"/>
      <c r="M163" s="82"/>
      <c r="N163" s="82"/>
      <c r="O163" s="82"/>
      <c r="P163" s="82"/>
      <c r="Q163" s="82"/>
      <c r="R163" s="260">
        <f>F163</f>
        <v>3.4</v>
      </c>
      <c r="S163" s="502"/>
      <c r="T163" s="512"/>
    </row>
    <row r="164" spans="1:20" ht="15.75" thickBot="1">
      <c r="A164" s="499"/>
      <c r="B164" s="82"/>
      <c r="C164" s="82"/>
      <c r="D164" s="82"/>
      <c r="E164" s="82"/>
      <c r="F164" s="275">
        <v>3</v>
      </c>
      <c r="G164" s="82"/>
      <c r="H164" s="97"/>
      <c r="I164" s="82"/>
      <c r="J164" s="82"/>
      <c r="K164" s="82"/>
      <c r="L164" s="82"/>
      <c r="M164" s="82"/>
      <c r="N164" s="82"/>
      <c r="O164" s="82"/>
      <c r="P164" s="82"/>
      <c r="Q164" s="82"/>
      <c r="R164" s="260">
        <f>F164</f>
        <v>3</v>
      </c>
      <c r="S164" s="502"/>
      <c r="T164" s="512"/>
    </row>
    <row r="165" spans="1:20" ht="15.75" customHeight="1" thickBot="1">
      <c r="A165" s="490" t="s">
        <v>952</v>
      </c>
      <c r="B165" s="492" t="str">
        <f>PLANILHA!C297</f>
        <v>Adaptador de PVC soldável com flanges livres para caixa d'água, diâmetro 50mm (1 1/2")</v>
      </c>
      <c r="C165" s="493"/>
      <c r="D165" s="493"/>
      <c r="E165" s="493"/>
      <c r="F165" s="493"/>
      <c r="G165" s="493"/>
      <c r="H165" s="493"/>
      <c r="I165" s="493"/>
      <c r="J165" s="493"/>
      <c r="K165" s="493"/>
      <c r="L165" s="493"/>
      <c r="M165" s="493"/>
      <c r="N165" s="493"/>
      <c r="O165" s="493"/>
      <c r="P165" s="493"/>
      <c r="Q165" s="493"/>
      <c r="R165" s="494"/>
      <c r="S165" s="495" t="s">
        <v>340</v>
      </c>
      <c r="T165" s="497">
        <f>D166</f>
        <v>3</v>
      </c>
    </row>
    <row r="166" spans="1:20" ht="15.75" customHeight="1" thickBot="1">
      <c r="A166" s="499"/>
      <c r="B166" s="82"/>
      <c r="C166" s="82"/>
      <c r="D166" s="82">
        <v>3</v>
      </c>
      <c r="E166" s="82"/>
      <c r="F166" s="260"/>
      <c r="G166" s="82"/>
      <c r="H166" s="97"/>
      <c r="I166" s="82"/>
      <c r="J166" s="82"/>
      <c r="K166" s="82"/>
      <c r="L166" s="82"/>
      <c r="M166" s="82"/>
      <c r="N166" s="82"/>
      <c r="O166" s="82"/>
      <c r="P166" s="82"/>
      <c r="Q166" s="82"/>
      <c r="R166" s="82"/>
      <c r="S166" s="495"/>
      <c r="T166" s="504"/>
    </row>
    <row r="167" spans="1:20" ht="15.75" customHeight="1" thickBot="1">
      <c r="A167" s="490" t="s">
        <v>953</v>
      </c>
      <c r="B167" s="492" t="str">
        <f>PLANILHA!C298</f>
        <v>CURVA LONGA 90 GRAUS, PVC, SERIE NORMAL, ESGOTO PREDIAL, DN 50 MM, JUNTA E LÁSTICA, FORNECIDO E INSTALADO EM PRUMADA DE ESGOTO SANITÁRIO OU VENTILAÇÃO. AF_08/2022</v>
      </c>
      <c r="C167" s="493"/>
      <c r="D167" s="493"/>
      <c r="E167" s="493"/>
      <c r="F167" s="493"/>
      <c r="G167" s="493"/>
      <c r="H167" s="493"/>
      <c r="I167" s="493"/>
      <c r="J167" s="493"/>
      <c r="K167" s="493"/>
      <c r="L167" s="493"/>
      <c r="M167" s="493"/>
      <c r="N167" s="493"/>
      <c r="O167" s="493"/>
      <c r="P167" s="493"/>
      <c r="Q167" s="493"/>
      <c r="R167" s="494"/>
      <c r="S167" s="495" t="s">
        <v>340</v>
      </c>
      <c r="T167" s="497">
        <f>D170</f>
        <v>1</v>
      </c>
    </row>
    <row r="168" spans="1:20" ht="15.75" customHeight="1" thickBot="1">
      <c r="A168" s="499"/>
      <c r="B168" s="82"/>
      <c r="C168" s="82"/>
      <c r="D168" s="82">
        <v>7</v>
      </c>
      <c r="E168" s="82"/>
      <c r="F168" s="260"/>
      <c r="G168" s="82"/>
      <c r="H168" s="97"/>
      <c r="I168" s="82"/>
      <c r="J168" s="82"/>
      <c r="K168" s="82"/>
      <c r="L168" s="82"/>
      <c r="M168" s="82"/>
      <c r="N168" s="82"/>
      <c r="O168" s="82"/>
      <c r="P168" s="82"/>
      <c r="Q168" s="82"/>
      <c r="R168" s="82"/>
      <c r="S168" s="495"/>
      <c r="T168" s="504"/>
    </row>
    <row r="169" spans="1:20" ht="15.75" customHeight="1" thickBot="1">
      <c r="A169" s="490" t="s">
        <v>954</v>
      </c>
      <c r="B169" s="492" t="str">
        <f>PLANILHA!C299</f>
        <v>Ralo sifonado em PVC 100x100mm, com grelha PVC</v>
      </c>
      <c r="C169" s="493"/>
      <c r="D169" s="493"/>
      <c r="E169" s="493"/>
      <c r="F169" s="493"/>
      <c r="G169" s="493"/>
      <c r="H169" s="493"/>
      <c r="I169" s="493"/>
      <c r="J169" s="493"/>
      <c r="K169" s="493"/>
      <c r="L169" s="493"/>
      <c r="M169" s="493"/>
      <c r="N169" s="493"/>
      <c r="O169" s="493"/>
      <c r="P169" s="493"/>
      <c r="Q169" s="493"/>
      <c r="R169" s="494"/>
      <c r="S169" s="495" t="s">
        <v>340</v>
      </c>
      <c r="T169" s="497">
        <f>D170</f>
        <v>1</v>
      </c>
    </row>
    <row r="170" spans="1:20" ht="15.75" customHeight="1" thickBot="1">
      <c r="A170" s="499"/>
      <c r="B170" s="82"/>
      <c r="C170" s="82"/>
      <c r="D170" s="82">
        <v>1</v>
      </c>
      <c r="E170" s="82"/>
      <c r="F170" s="260"/>
      <c r="G170" s="82"/>
      <c r="H170" s="97"/>
      <c r="I170" s="82"/>
      <c r="J170" s="82"/>
      <c r="K170" s="82"/>
      <c r="L170" s="82"/>
      <c r="M170" s="82"/>
      <c r="N170" s="82"/>
      <c r="O170" s="82"/>
      <c r="P170" s="82"/>
      <c r="Q170" s="82"/>
      <c r="R170" s="82"/>
      <c r="S170" s="495"/>
      <c r="T170" s="504"/>
    </row>
    <row r="171" spans="1:20">
      <c r="A171" s="490" t="s">
        <v>955</v>
      </c>
      <c r="B171" s="492" t="str">
        <f>PLANILHA!C300</f>
        <v>Tubo de PVC rígido soldável branco, para esgoto, diâmetro 50mm (2"), inclusive conexões</v>
      </c>
      <c r="C171" s="493"/>
      <c r="D171" s="493"/>
      <c r="E171" s="493"/>
      <c r="F171" s="493"/>
      <c r="G171" s="493"/>
      <c r="H171" s="493"/>
      <c r="I171" s="493"/>
      <c r="J171" s="493"/>
      <c r="K171" s="493"/>
      <c r="L171" s="493"/>
      <c r="M171" s="493"/>
      <c r="N171" s="493"/>
      <c r="O171" s="493"/>
      <c r="P171" s="493"/>
      <c r="Q171" s="493"/>
      <c r="R171" s="494"/>
      <c r="S171" s="506" t="s">
        <v>49</v>
      </c>
      <c r="T171" s="511">
        <f>TRUNC((SUM(R172:R185)),2)</f>
        <v>27.9</v>
      </c>
    </row>
    <row r="172" spans="1:20">
      <c r="A172" s="499"/>
      <c r="B172" s="82"/>
      <c r="C172" s="82"/>
      <c r="D172" s="82"/>
      <c r="E172" s="82"/>
      <c r="F172" s="275">
        <v>1.5</v>
      </c>
      <c r="G172" s="82"/>
      <c r="H172" s="97"/>
      <c r="I172" s="82"/>
      <c r="J172" s="82"/>
      <c r="K172" s="82"/>
      <c r="L172" s="82"/>
      <c r="M172" s="82"/>
      <c r="N172" s="82"/>
      <c r="O172" s="82"/>
      <c r="P172" s="82"/>
      <c r="Q172" s="82"/>
      <c r="R172" s="260">
        <f t="shared" ref="R172:R185" si="5">F172</f>
        <v>1.5</v>
      </c>
      <c r="S172" s="507"/>
      <c r="T172" s="512"/>
    </row>
    <row r="173" spans="1:20">
      <c r="A173" s="499"/>
      <c r="B173" s="82"/>
      <c r="C173" s="82"/>
      <c r="D173" s="82"/>
      <c r="E173" s="82"/>
      <c r="F173" s="275">
        <v>0.5</v>
      </c>
      <c r="G173" s="82"/>
      <c r="H173" s="97"/>
      <c r="I173" s="82"/>
      <c r="J173" s="82"/>
      <c r="K173" s="82"/>
      <c r="L173" s="82"/>
      <c r="M173" s="82"/>
      <c r="N173" s="82"/>
      <c r="O173" s="82"/>
      <c r="P173" s="82"/>
      <c r="Q173" s="82"/>
      <c r="R173" s="260">
        <f t="shared" si="5"/>
        <v>0.5</v>
      </c>
      <c r="S173" s="507"/>
      <c r="T173" s="512"/>
    </row>
    <row r="174" spans="1:20">
      <c r="A174" s="499"/>
      <c r="B174" s="272"/>
      <c r="C174" s="82"/>
      <c r="D174" s="82"/>
      <c r="E174" s="82"/>
      <c r="F174" s="275">
        <v>1.2</v>
      </c>
      <c r="G174" s="82"/>
      <c r="H174" s="97"/>
      <c r="I174" s="82"/>
      <c r="J174" s="82"/>
      <c r="K174" s="82"/>
      <c r="L174" s="82"/>
      <c r="M174" s="82"/>
      <c r="N174" s="82"/>
      <c r="O174" s="82"/>
      <c r="P174" s="82"/>
      <c r="Q174" s="82"/>
      <c r="R174" s="260">
        <f t="shared" si="5"/>
        <v>1.2</v>
      </c>
      <c r="S174" s="507"/>
      <c r="T174" s="512"/>
    </row>
    <row r="175" spans="1:20">
      <c r="A175" s="499"/>
      <c r="B175" s="272"/>
      <c r="C175" s="82" t="s">
        <v>1148</v>
      </c>
      <c r="D175" s="82"/>
      <c r="E175" s="82"/>
      <c r="F175" s="275">
        <v>1.3</v>
      </c>
      <c r="G175" s="82"/>
      <c r="H175" s="97"/>
      <c r="I175" s="82"/>
      <c r="J175" s="82"/>
      <c r="K175" s="82"/>
      <c r="L175" s="82"/>
      <c r="M175" s="82"/>
      <c r="N175" s="82"/>
      <c r="O175" s="82"/>
      <c r="P175" s="82"/>
      <c r="Q175" s="82"/>
      <c r="R175" s="260">
        <f t="shared" si="5"/>
        <v>1.3</v>
      </c>
      <c r="S175" s="507"/>
      <c r="T175" s="512"/>
    </row>
    <row r="176" spans="1:20">
      <c r="A176" s="499"/>
      <c r="B176" s="272"/>
      <c r="C176" s="82"/>
      <c r="D176" s="82"/>
      <c r="E176" s="82"/>
      <c r="F176" s="275">
        <v>0.6</v>
      </c>
      <c r="G176" s="82"/>
      <c r="H176" s="97"/>
      <c r="I176" s="82"/>
      <c r="J176" s="82"/>
      <c r="K176" s="82"/>
      <c r="L176" s="82"/>
      <c r="M176" s="82"/>
      <c r="N176" s="82"/>
      <c r="O176" s="82"/>
      <c r="P176" s="82"/>
      <c r="Q176" s="82"/>
      <c r="R176" s="260">
        <f t="shared" si="5"/>
        <v>0.6</v>
      </c>
      <c r="S176" s="507"/>
      <c r="T176" s="512"/>
    </row>
    <row r="177" spans="1:20">
      <c r="A177" s="499"/>
      <c r="B177" s="272"/>
      <c r="C177" s="82"/>
      <c r="D177" s="82"/>
      <c r="E177" s="82"/>
      <c r="F177" s="275">
        <v>0.4</v>
      </c>
      <c r="G177" s="82"/>
      <c r="H177" s="97"/>
      <c r="I177" s="82"/>
      <c r="J177" s="82"/>
      <c r="K177" s="82"/>
      <c r="L177" s="82"/>
      <c r="M177" s="82"/>
      <c r="N177" s="82"/>
      <c r="O177" s="82"/>
      <c r="P177" s="82"/>
      <c r="Q177" s="82"/>
      <c r="R177" s="260">
        <f t="shared" si="5"/>
        <v>0.4</v>
      </c>
      <c r="S177" s="507"/>
      <c r="T177" s="512"/>
    </row>
    <row r="178" spans="1:20">
      <c r="A178" s="499"/>
      <c r="B178" s="272"/>
      <c r="C178" s="82" t="s">
        <v>1148</v>
      </c>
      <c r="D178" s="82"/>
      <c r="E178" s="82"/>
      <c r="F178" s="275">
        <v>1.3</v>
      </c>
      <c r="G178" s="82"/>
      <c r="H178" s="97"/>
      <c r="I178" s="82"/>
      <c r="J178" s="82"/>
      <c r="K178" s="82"/>
      <c r="L178" s="82"/>
      <c r="M178" s="82"/>
      <c r="N178" s="82"/>
      <c r="O178" s="82"/>
      <c r="P178" s="82"/>
      <c r="Q178" s="82"/>
      <c r="R178" s="260">
        <f t="shared" si="5"/>
        <v>1.3</v>
      </c>
      <c r="S178" s="507"/>
      <c r="T178" s="512"/>
    </row>
    <row r="179" spans="1:20">
      <c r="A179" s="499"/>
      <c r="B179" s="272"/>
      <c r="C179" s="82"/>
      <c r="D179" s="82"/>
      <c r="E179" s="82"/>
      <c r="F179" s="275">
        <v>1</v>
      </c>
      <c r="G179" s="82"/>
      <c r="H179" s="97"/>
      <c r="I179" s="82"/>
      <c r="J179" s="82"/>
      <c r="K179" s="82"/>
      <c r="L179" s="82"/>
      <c r="M179" s="82"/>
      <c r="N179" s="82"/>
      <c r="O179" s="82"/>
      <c r="P179" s="82"/>
      <c r="Q179" s="82"/>
      <c r="R179" s="260">
        <f t="shared" si="5"/>
        <v>1</v>
      </c>
      <c r="S179" s="507"/>
      <c r="T179" s="512"/>
    </row>
    <row r="180" spans="1:20">
      <c r="A180" s="499"/>
      <c r="B180" s="272"/>
      <c r="C180" s="82"/>
      <c r="D180" s="82"/>
      <c r="E180" s="82"/>
      <c r="F180" s="275">
        <v>0.4</v>
      </c>
      <c r="G180" s="82"/>
      <c r="H180" s="97"/>
      <c r="I180" s="82"/>
      <c r="J180" s="82"/>
      <c r="K180" s="82"/>
      <c r="L180" s="82"/>
      <c r="M180" s="82"/>
      <c r="N180" s="82"/>
      <c r="O180" s="82"/>
      <c r="P180" s="82"/>
      <c r="Q180" s="82"/>
      <c r="R180" s="260">
        <f t="shared" si="5"/>
        <v>0.4</v>
      </c>
      <c r="S180" s="507"/>
      <c r="T180" s="512"/>
    </row>
    <row r="181" spans="1:20">
      <c r="A181" s="499"/>
      <c r="B181" s="272"/>
      <c r="C181" s="82" t="s">
        <v>1148</v>
      </c>
      <c r="D181" s="82"/>
      <c r="E181" s="82"/>
      <c r="F181" s="275">
        <v>1.3</v>
      </c>
      <c r="G181" s="82"/>
      <c r="H181" s="97"/>
      <c r="I181" s="82"/>
      <c r="J181" s="82"/>
      <c r="K181" s="82"/>
      <c r="L181" s="82"/>
      <c r="M181" s="82"/>
      <c r="N181" s="82"/>
      <c r="O181" s="82"/>
      <c r="P181" s="82"/>
      <c r="Q181" s="82"/>
      <c r="R181" s="260">
        <f t="shared" si="5"/>
        <v>1.3</v>
      </c>
      <c r="S181" s="507"/>
      <c r="T181" s="512"/>
    </row>
    <row r="182" spans="1:20">
      <c r="A182" s="499"/>
      <c r="B182" s="272"/>
      <c r="C182" s="82"/>
      <c r="D182" s="82"/>
      <c r="E182" s="82"/>
      <c r="F182" s="275">
        <v>0.4</v>
      </c>
      <c r="G182" s="82"/>
      <c r="H182" s="97"/>
      <c r="I182" s="82"/>
      <c r="J182" s="82"/>
      <c r="K182" s="82"/>
      <c r="L182" s="82"/>
      <c r="M182" s="82"/>
      <c r="N182" s="82"/>
      <c r="O182" s="82"/>
      <c r="P182" s="82"/>
      <c r="Q182" s="82"/>
      <c r="R182" s="260">
        <f t="shared" si="5"/>
        <v>0.4</v>
      </c>
      <c r="S182" s="507"/>
      <c r="T182" s="512"/>
    </row>
    <row r="183" spans="1:20">
      <c r="A183" s="499"/>
      <c r="B183" s="272" t="s">
        <v>1149</v>
      </c>
      <c r="C183" s="82"/>
      <c r="D183" s="82"/>
      <c r="E183" s="82"/>
      <c r="F183" s="275">
        <v>6</v>
      </c>
      <c r="G183" s="82"/>
      <c r="H183" s="97"/>
      <c r="I183" s="82"/>
      <c r="J183" s="82"/>
      <c r="K183" s="82"/>
      <c r="L183" s="82"/>
      <c r="M183" s="82"/>
      <c r="N183" s="82"/>
      <c r="O183" s="82"/>
      <c r="P183" s="82"/>
      <c r="Q183" s="82"/>
      <c r="R183" s="260">
        <f t="shared" si="5"/>
        <v>6</v>
      </c>
      <c r="S183" s="507"/>
      <c r="T183" s="512"/>
    </row>
    <row r="184" spans="1:20">
      <c r="A184" s="499"/>
      <c r="B184" s="272" t="s">
        <v>1149</v>
      </c>
      <c r="C184" s="82"/>
      <c r="D184" s="82"/>
      <c r="E184" s="82"/>
      <c r="F184" s="275">
        <v>6</v>
      </c>
      <c r="G184" s="82"/>
      <c r="H184" s="97"/>
      <c r="I184" s="82"/>
      <c r="J184" s="82"/>
      <c r="K184" s="82"/>
      <c r="L184" s="82"/>
      <c r="M184" s="82"/>
      <c r="N184" s="82"/>
      <c r="O184" s="82"/>
      <c r="P184" s="82"/>
      <c r="Q184" s="82"/>
      <c r="R184" s="260">
        <f t="shared" si="5"/>
        <v>6</v>
      </c>
      <c r="S184" s="507"/>
      <c r="T184" s="512"/>
    </row>
    <row r="185" spans="1:20" ht="15.75" thickBot="1">
      <c r="A185" s="499"/>
      <c r="B185" s="272" t="s">
        <v>1149</v>
      </c>
      <c r="C185" s="82"/>
      <c r="D185" s="82"/>
      <c r="E185" s="82"/>
      <c r="F185" s="275">
        <v>6</v>
      </c>
      <c r="G185" s="82"/>
      <c r="H185" s="97"/>
      <c r="I185" s="82"/>
      <c r="J185" s="82"/>
      <c r="K185" s="82"/>
      <c r="L185" s="82"/>
      <c r="M185" s="82"/>
      <c r="N185" s="82"/>
      <c r="O185" s="82"/>
      <c r="P185" s="82"/>
      <c r="Q185" s="82"/>
      <c r="R185" s="260">
        <f t="shared" si="5"/>
        <v>6</v>
      </c>
      <c r="S185" s="507"/>
      <c r="T185" s="512"/>
    </row>
    <row r="186" spans="1:20" ht="15.75" thickBot="1">
      <c r="A186" s="288" t="s">
        <v>956</v>
      </c>
      <c r="B186" s="262" t="str">
        <f>PLANILHA!B301</f>
        <v>SISTEMA ELÉTRICO E DE ILUMINAÇÃO</v>
      </c>
      <c r="C186" s="263"/>
      <c r="D186" s="263"/>
      <c r="E186" s="263"/>
      <c r="F186" s="263"/>
      <c r="G186" s="263"/>
      <c r="H186" s="263"/>
      <c r="I186" s="263"/>
      <c r="J186" s="263"/>
      <c r="K186" s="263"/>
      <c r="L186" s="263"/>
      <c r="M186" s="263"/>
      <c r="N186" s="263"/>
      <c r="O186" s="263"/>
      <c r="P186" s="263"/>
      <c r="Q186" s="263"/>
      <c r="R186" s="263"/>
      <c r="S186" s="287"/>
      <c r="T186" s="264"/>
    </row>
    <row r="187" spans="1:20" ht="15.75" thickBot="1">
      <c r="A187" s="490" t="s">
        <v>958</v>
      </c>
      <c r="B187" s="492" t="str">
        <f>PLANILHA!C302</f>
        <v>Eletroduto PEAD, cor preta, diam. 1.1/2", marca ref. Kanaflex ou equivalente</v>
      </c>
      <c r="C187" s="493"/>
      <c r="D187" s="493"/>
      <c r="E187" s="493"/>
      <c r="F187" s="493"/>
      <c r="G187" s="493"/>
      <c r="H187" s="493"/>
      <c r="I187" s="493"/>
      <c r="J187" s="493"/>
      <c r="K187" s="493"/>
      <c r="L187" s="493"/>
      <c r="M187" s="493"/>
      <c r="N187" s="493"/>
      <c r="O187" s="493"/>
      <c r="P187" s="493"/>
      <c r="Q187" s="493"/>
      <c r="R187" s="494"/>
      <c r="S187" s="495" t="s">
        <v>49</v>
      </c>
      <c r="T187" s="497">
        <f>F188</f>
        <v>5</v>
      </c>
    </row>
    <row r="188" spans="1:20" ht="15.75" thickBot="1">
      <c r="A188" s="499"/>
      <c r="B188" s="88" t="s">
        <v>1150</v>
      </c>
      <c r="C188" s="82"/>
      <c r="D188" s="82"/>
      <c r="E188" s="82"/>
      <c r="F188" s="260">
        <v>5</v>
      </c>
      <c r="G188" s="82"/>
      <c r="H188" s="97"/>
      <c r="I188" s="82"/>
      <c r="J188" s="82"/>
      <c r="K188" s="82"/>
      <c r="L188" s="82"/>
      <c r="M188" s="82"/>
      <c r="N188" s="82"/>
      <c r="O188" s="82"/>
      <c r="P188" s="82"/>
      <c r="Q188" s="82"/>
      <c r="R188" s="82"/>
      <c r="S188" s="495"/>
      <c r="T188" s="504"/>
    </row>
    <row r="189" spans="1:20" ht="15.75" thickBot="1">
      <c r="A189" s="490" t="s">
        <v>968</v>
      </c>
      <c r="B189" s="492" t="str">
        <f>PLANILHA!C303</f>
        <v xml:space="preserve"> Cabo de cobre termoplástico (PVC) flexível isolado 0,60/1kV, antichama, HEPR 90ºC ? 10,0mm2</v>
      </c>
      <c r="C189" s="493"/>
      <c r="D189" s="493"/>
      <c r="E189" s="493"/>
      <c r="F189" s="493"/>
      <c r="G189" s="493"/>
      <c r="H189" s="493"/>
      <c r="I189" s="493"/>
      <c r="J189" s="493"/>
      <c r="K189" s="493"/>
      <c r="L189" s="493"/>
      <c r="M189" s="493"/>
      <c r="N189" s="493"/>
      <c r="O189" s="493"/>
      <c r="P189" s="493"/>
      <c r="Q189" s="493"/>
      <c r="R189" s="494"/>
      <c r="S189" s="495" t="s">
        <v>49</v>
      </c>
      <c r="T189" s="497">
        <f>R190</f>
        <v>25</v>
      </c>
    </row>
    <row r="190" spans="1:20" ht="15.75" thickBot="1">
      <c r="A190" s="499"/>
      <c r="B190" s="88" t="s">
        <v>1150</v>
      </c>
      <c r="C190" s="82"/>
      <c r="D190" s="82">
        <v>5</v>
      </c>
      <c r="E190" s="82"/>
      <c r="F190" s="260">
        <v>5</v>
      </c>
      <c r="G190" s="82"/>
      <c r="H190" s="97"/>
      <c r="I190" s="82"/>
      <c r="J190" s="82"/>
      <c r="K190" s="82"/>
      <c r="L190" s="82"/>
      <c r="M190" s="82"/>
      <c r="N190" s="82"/>
      <c r="O190" s="82"/>
      <c r="P190" s="82"/>
      <c r="Q190" s="82"/>
      <c r="R190" s="260">
        <f>D190*F190</f>
        <v>25</v>
      </c>
      <c r="S190" s="495"/>
      <c r="T190" s="504"/>
    </row>
    <row r="191" spans="1:20" ht="15.75" customHeight="1" thickBot="1">
      <c r="A191" s="490" t="s">
        <v>969</v>
      </c>
      <c r="B191" s="492" t="str">
        <f>PLANILHA!C304</f>
        <v>Caixa de passagem 300x300x120mm, chapa 18, com tampa parafusada</v>
      </c>
      <c r="C191" s="493"/>
      <c r="D191" s="493"/>
      <c r="E191" s="493"/>
      <c r="F191" s="493"/>
      <c r="G191" s="493"/>
      <c r="H191" s="493"/>
      <c r="I191" s="493"/>
      <c r="J191" s="493"/>
      <c r="K191" s="493"/>
      <c r="L191" s="493"/>
      <c r="M191" s="493"/>
      <c r="N191" s="493"/>
      <c r="O191" s="493"/>
      <c r="P191" s="493"/>
      <c r="Q191" s="493"/>
      <c r="R191" s="494"/>
      <c r="S191" s="495" t="s">
        <v>340</v>
      </c>
      <c r="T191" s="497">
        <f>D192</f>
        <v>1</v>
      </c>
    </row>
    <row r="192" spans="1:20" ht="15.75" customHeight="1" thickBot="1">
      <c r="A192" s="499"/>
      <c r="B192" s="82"/>
      <c r="C192" s="82"/>
      <c r="D192" s="82">
        <v>1</v>
      </c>
      <c r="E192" s="82"/>
      <c r="F192" s="260"/>
      <c r="G192" s="82"/>
      <c r="H192" s="97"/>
      <c r="I192" s="82"/>
      <c r="J192" s="82"/>
      <c r="K192" s="82"/>
      <c r="L192" s="82"/>
      <c r="M192" s="82"/>
      <c r="N192" s="82"/>
      <c r="O192" s="82"/>
      <c r="P192" s="82"/>
      <c r="Q192" s="82"/>
      <c r="R192" s="82"/>
      <c r="S192" s="495"/>
      <c r="T192" s="504"/>
    </row>
    <row r="193" spans="1:20" ht="15.75" customHeight="1" thickBot="1">
      <c r="A193" s="490" t="s">
        <v>970</v>
      </c>
      <c r="B193" s="492" t="str">
        <f>PLANILHA!C305</f>
        <v>Caixa de passagem 150x150x80mm, chapa 18, com tampa parafusada</v>
      </c>
      <c r="C193" s="493"/>
      <c r="D193" s="493"/>
      <c r="E193" s="493"/>
      <c r="F193" s="493"/>
      <c r="G193" s="493"/>
      <c r="H193" s="493"/>
      <c r="I193" s="493"/>
      <c r="J193" s="493"/>
      <c r="K193" s="493"/>
      <c r="L193" s="493"/>
      <c r="M193" s="493"/>
      <c r="N193" s="493"/>
      <c r="O193" s="493"/>
      <c r="P193" s="493"/>
      <c r="Q193" s="493"/>
      <c r="R193" s="494"/>
      <c r="S193" s="495" t="s">
        <v>340</v>
      </c>
      <c r="T193" s="497">
        <f>D194</f>
        <v>1</v>
      </c>
    </row>
    <row r="194" spans="1:20" ht="15.75" customHeight="1" thickBot="1">
      <c r="A194" s="499"/>
      <c r="B194" s="82"/>
      <c r="C194" s="82"/>
      <c r="D194" s="82">
        <v>1</v>
      </c>
      <c r="E194" s="82"/>
      <c r="F194" s="260"/>
      <c r="G194" s="82"/>
      <c r="H194" s="97"/>
      <c r="I194" s="82"/>
      <c r="J194" s="82"/>
      <c r="K194" s="82"/>
      <c r="L194" s="82"/>
      <c r="M194" s="82"/>
      <c r="N194" s="82"/>
      <c r="O194" s="82"/>
      <c r="P194" s="82"/>
      <c r="Q194" s="82"/>
      <c r="R194" s="82"/>
      <c r="S194" s="495"/>
      <c r="T194" s="504"/>
    </row>
    <row r="195" spans="1:20">
      <c r="A195" s="490" t="s">
        <v>971</v>
      </c>
      <c r="B195" s="492" t="str">
        <f>PLANILHA!C306</f>
        <v>Eletroduto aparente de PVC rígido roscável diâmetro 1", inclusive abraçadeira de fixação</v>
      </c>
      <c r="C195" s="493"/>
      <c r="D195" s="493"/>
      <c r="E195" s="493"/>
      <c r="F195" s="493"/>
      <c r="G195" s="493"/>
      <c r="H195" s="493"/>
      <c r="I195" s="493"/>
      <c r="J195" s="493"/>
      <c r="K195" s="493"/>
      <c r="L195" s="493"/>
      <c r="M195" s="493"/>
      <c r="N195" s="493"/>
      <c r="O195" s="493"/>
      <c r="P195" s="493"/>
      <c r="Q195" s="493"/>
      <c r="R195" s="494"/>
      <c r="S195" s="501" t="s">
        <v>49</v>
      </c>
      <c r="T195" s="497">
        <f>TRUNC((SUM(R196:R196)),2)</f>
        <v>10</v>
      </c>
    </row>
    <row r="196" spans="1:20" ht="15.75" thickBot="1">
      <c r="A196" s="499"/>
      <c r="B196" s="82" t="s">
        <v>1151</v>
      </c>
      <c r="C196" s="82"/>
      <c r="D196" s="82">
        <v>1</v>
      </c>
      <c r="E196" s="82"/>
      <c r="F196" s="260">
        <v>10</v>
      </c>
      <c r="G196" s="82"/>
      <c r="H196" s="97"/>
      <c r="I196" s="82"/>
      <c r="J196" s="82"/>
      <c r="K196" s="82"/>
      <c r="L196" s="82"/>
      <c r="M196" s="82"/>
      <c r="N196" s="82"/>
      <c r="O196" s="82"/>
      <c r="P196" s="82"/>
      <c r="Q196" s="82"/>
      <c r="R196" s="260">
        <f>F196*D196</f>
        <v>10</v>
      </c>
      <c r="S196" s="502"/>
      <c r="T196" s="504"/>
    </row>
    <row r="197" spans="1:20">
      <c r="A197" s="490" t="s">
        <v>972</v>
      </c>
      <c r="B197" s="492" t="str">
        <f>PLANILHA!C307</f>
        <v>Eletroduto PEAD, cor preta, diam. 1.1/2", marca ref. Kanaflex ou equivalente</v>
      </c>
      <c r="C197" s="493"/>
      <c r="D197" s="493"/>
      <c r="E197" s="493"/>
      <c r="F197" s="493"/>
      <c r="G197" s="493"/>
      <c r="H197" s="493"/>
      <c r="I197" s="493"/>
      <c r="J197" s="493"/>
      <c r="K197" s="493"/>
      <c r="L197" s="493"/>
      <c r="M197" s="493"/>
      <c r="N197" s="493"/>
      <c r="O197" s="493"/>
      <c r="P197" s="493"/>
      <c r="Q197" s="493"/>
      <c r="R197" s="494"/>
      <c r="S197" s="510" t="s">
        <v>49</v>
      </c>
      <c r="T197" s="497">
        <f>TRUNC((SUM(R198:R198)),2)</f>
        <v>27</v>
      </c>
    </row>
    <row r="198" spans="1:20" ht="15.75" thickBot="1">
      <c r="A198" s="499"/>
      <c r="B198" s="82" t="s">
        <v>1152</v>
      </c>
      <c r="C198" s="82"/>
      <c r="D198" s="82">
        <v>3</v>
      </c>
      <c r="E198" s="82"/>
      <c r="F198" s="260">
        <v>9</v>
      </c>
      <c r="G198" s="82"/>
      <c r="H198" s="97"/>
      <c r="I198" s="82"/>
      <c r="J198" s="82"/>
      <c r="K198" s="82"/>
      <c r="L198" s="82"/>
      <c r="M198" s="82"/>
      <c r="N198" s="82"/>
      <c r="O198" s="82"/>
      <c r="P198" s="82"/>
      <c r="Q198" s="82"/>
      <c r="R198" s="260">
        <f>F198*D198</f>
        <v>27</v>
      </c>
      <c r="S198" s="502"/>
      <c r="T198" s="504"/>
    </row>
    <row r="199" spans="1:20">
      <c r="A199" s="490" t="s">
        <v>973</v>
      </c>
      <c r="B199" s="492" t="str">
        <f>PLANILHA!C308</f>
        <v>CONDULETE DE ALUMÍNIO, TIPO C, PARA ELETRODUTO DE AÇO GALVANIZADO DN 25 MM  (1''), APARENTE - FORNECIMENTO E INSTALAÇÃO. AF_10/2022</v>
      </c>
      <c r="C199" s="493"/>
      <c r="D199" s="493"/>
      <c r="E199" s="493"/>
      <c r="F199" s="493"/>
      <c r="G199" s="493"/>
      <c r="H199" s="493"/>
      <c r="I199" s="493"/>
      <c r="J199" s="493"/>
      <c r="K199" s="493"/>
      <c r="L199" s="493"/>
      <c r="M199" s="493"/>
      <c r="N199" s="493"/>
      <c r="O199" s="493"/>
      <c r="P199" s="493"/>
      <c r="Q199" s="493"/>
      <c r="R199" s="494"/>
      <c r="S199" s="501" t="s">
        <v>340</v>
      </c>
      <c r="T199" s="497">
        <f>D200+D201</f>
        <v>16</v>
      </c>
    </row>
    <row r="200" spans="1:20">
      <c r="A200" s="499"/>
      <c r="B200" s="82" t="s">
        <v>1153</v>
      </c>
      <c r="C200" s="82"/>
      <c r="D200" s="82">
        <v>15</v>
      </c>
      <c r="E200" s="82"/>
      <c r="F200" s="260"/>
      <c r="G200" s="82"/>
      <c r="H200" s="97"/>
      <c r="I200" s="82"/>
      <c r="J200" s="82"/>
      <c r="K200" s="82"/>
      <c r="L200" s="82"/>
      <c r="M200" s="82"/>
      <c r="N200" s="82"/>
      <c r="O200" s="82"/>
      <c r="P200" s="82"/>
      <c r="Q200" s="82"/>
      <c r="R200" s="82"/>
      <c r="S200" s="502"/>
      <c r="T200" s="504"/>
    </row>
    <row r="201" spans="1:20" ht="15.75" thickBot="1">
      <c r="A201" s="500"/>
      <c r="B201" s="82" t="s">
        <v>1154</v>
      </c>
      <c r="C201" s="82"/>
      <c r="D201" s="82">
        <v>1</v>
      </c>
      <c r="E201" s="82"/>
      <c r="F201" s="260"/>
      <c r="G201" s="82"/>
      <c r="H201" s="97"/>
      <c r="I201" s="82"/>
      <c r="J201" s="82"/>
      <c r="K201" s="82"/>
      <c r="L201" s="82"/>
      <c r="M201" s="82"/>
      <c r="N201" s="82"/>
      <c r="O201" s="82"/>
      <c r="P201" s="82"/>
      <c r="Q201" s="82"/>
      <c r="R201" s="82"/>
      <c r="S201" s="503"/>
      <c r="T201" s="505"/>
    </row>
    <row r="202" spans="1:20" ht="15" customHeight="1">
      <c r="A202" s="490" t="s">
        <v>974</v>
      </c>
      <c r="B202" s="492" t="str">
        <f>PLANILHA!C309</f>
        <v>CONDULETE DE ALUMÍNIO, TIPO E, ELETRODUTO DE AÇO GALVANIZADO DN 25 MM (1''), APARENTE - FORNECIMENTO E INSTALAÇÃO. AF_10/2022</v>
      </c>
      <c r="C202" s="493"/>
      <c r="D202" s="493"/>
      <c r="E202" s="493"/>
      <c r="F202" s="493"/>
      <c r="G202" s="493"/>
      <c r="H202" s="493"/>
      <c r="I202" s="493"/>
      <c r="J202" s="493"/>
      <c r="K202" s="493"/>
      <c r="L202" s="493"/>
      <c r="M202" s="493"/>
      <c r="N202" s="493"/>
      <c r="O202" s="493"/>
      <c r="P202" s="493"/>
      <c r="Q202" s="493"/>
      <c r="R202" s="494"/>
      <c r="S202" s="501" t="s">
        <v>340</v>
      </c>
      <c r="T202" s="497">
        <f>D203+D204</f>
        <v>5</v>
      </c>
    </row>
    <row r="203" spans="1:20" ht="15" customHeight="1">
      <c r="A203" s="499"/>
      <c r="B203" s="82" t="s">
        <v>1153</v>
      </c>
      <c r="C203" s="82"/>
      <c r="D203" s="82">
        <v>3</v>
      </c>
      <c r="E203" s="82"/>
      <c r="F203" s="260"/>
      <c r="G203" s="82"/>
      <c r="H203" s="97"/>
      <c r="I203" s="82"/>
      <c r="J203" s="82"/>
      <c r="K203" s="82"/>
      <c r="L203" s="82"/>
      <c r="M203" s="82"/>
      <c r="N203" s="82"/>
      <c r="O203" s="82"/>
      <c r="P203" s="82"/>
      <c r="Q203" s="82"/>
      <c r="R203" s="82"/>
      <c r="S203" s="502"/>
      <c r="T203" s="504"/>
    </row>
    <row r="204" spans="1:20" ht="15.75" customHeight="1" thickBot="1">
      <c r="A204" s="500"/>
      <c r="B204" s="82" t="s">
        <v>1154</v>
      </c>
      <c r="C204" s="82"/>
      <c r="D204" s="82">
        <v>2</v>
      </c>
      <c r="E204" s="82"/>
      <c r="F204" s="260"/>
      <c r="G204" s="82"/>
      <c r="H204" s="97"/>
      <c r="I204" s="82"/>
      <c r="J204" s="82"/>
      <c r="K204" s="82"/>
      <c r="L204" s="82"/>
      <c r="M204" s="82"/>
      <c r="N204" s="82"/>
      <c r="O204" s="82"/>
      <c r="P204" s="82"/>
      <c r="Q204" s="82"/>
      <c r="R204" s="82"/>
      <c r="S204" s="503"/>
      <c r="T204" s="505"/>
    </row>
    <row r="205" spans="1:20">
      <c r="A205" s="490" t="s">
        <v>975</v>
      </c>
      <c r="B205" s="492" t="str">
        <f>PLANILHA!C310</f>
        <v>Fio de cobre termoplástico, com isolamento para 750V, seção de 2.5 mm2</v>
      </c>
      <c r="C205" s="493"/>
      <c r="D205" s="493"/>
      <c r="E205" s="493"/>
      <c r="F205" s="493"/>
      <c r="G205" s="493"/>
      <c r="H205" s="493"/>
      <c r="I205" s="493"/>
      <c r="J205" s="493"/>
      <c r="K205" s="493"/>
      <c r="L205" s="493"/>
      <c r="M205" s="493"/>
      <c r="N205" s="493"/>
      <c r="O205" s="493"/>
      <c r="P205" s="493"/>
      <c r="Q205" s="493"/>
      <c r="R205" s="494"/>
      <c r="S205" s="510" t="s">
        <v>49</v>
      </c>
      <c r="T205" s="511">
        <f>TRUNC((SUM(R206:R206)),2)</f>
        <v>36</v>
      </c>
    </row>
    <row r="206" spans="1:20" ht="15.75" thickBot="1">
      <c r="A206" s="499"/>
      <c r="B206" s="82" t="s">
        <v>1152</v>
      </c>
      <c r="C206" s="82"/>
      <c r="D206" s="82">
        <v>4</v>
      </c>
      <c r="E206" s="82"/>
      <c r="F206" s="260">
        <v>9</v>
      </c>
      <c r="G206" s="82"/>
      <c r="H206" s="97"/>
      <c r="I206" s="82"/>
      <c r="J206" s="82"/>
      <c r="K206" s="82"/>
      <c r="L206" s="82"/>
      <c r="M206" s="82"/>
      <c r="N206" s="82"/>
      <c r="O206" s="82"/>
      <c r="P206" s="82"/>
      <c r="Q206" s="82"/>
      <c r="R206" s="260">
        <f>F206*D206</f>
        <v>36</v>
      </c>
      <c r="S206" s="502"/>
      <c r="T206" s="512"/>
    </row>
    <row r="207" spans="1:20">
      <c r="A207" s="490" t="s">
        <v>976</v>
      </c>
      <c r="B207" s="492" t="str">
        <f>PLANILHA!C311</f>
        <v>Fio ou cabo de cobre termoplástico, com isolamento para 750V, seção de 4.0 mm2</v>
      </c>
      <c r="C207" s="493"/>
      <c r="D207" s="493"/>
      <c r="E207" s="493"/>
      <c r="F207" s="493"/>
      <c r="G207" s="493"/>
      <c r="H207" s="493"/>
      <c r="I207" s="493"/>
      <c r="J207" s="493"/>
      <c r="K207" s="493"/>
      <c r="L207" s="493"/>
      <c r="M207" s="493"/>
      <c r="N207" s="493"/>
      <c r="O207" s="493"/>
      <c r="P207" s="493"/>
      <c r="Q207" s="493"/>
      <c r="R207" s="494"/>
      <c r="S207" s="506" t="s">
        <v>49</v>
      </c>
      <c r="T207" s="508">
        <f>TRUNC((SUM(R208:R208)),2)</f>
        <v>40</v>
      </c>
    </row>
    <row r="208" spans="1:20" ht="15.75" thickBot="1">
      <c r="A208" s="499"/>
      <c r="B208" s="185" t="s">
        <v>1151</v>
      </c>
      <c r="C208" s="82"/>
      <c r="D208" s="82">
        <v>4</v>
      </c>
      <c r="E208" s="82"/>
      <c r="F208" s="260">
        <v>10</v>
      </c>
      <c r="G208" s="82"/>
      <c r="H208" s="97"/>
      <c r="I208" s="82"/>
      <c r="J208" s="82"/>
      <c r="K208" s="82"/>
      <c r="L208" s="82"/>
      <c r="M208" s="82"/>
      <c r="N208" s="82"/>
      <c r="O208" s="82"/>
      <c r="P208" s="82"/>
      <c r="Q208" s="82"/>
      <c r="R208" s="260">
        <f>F208*D208</f>
        <v>40</v>
      </c>
      <c r="S208" s="507"/>
      <c r="T208" s="509"/>
    </row>
    <row r="209" spans="1:20" ht="15.75" thickBot="1">
      <c r="A209" s="288" t="s">
        <v>977</v>
      </c>
      <c r="B209" s="262" t="str">
        <f>PLANILHA!B312</f>
        <v>EQUIPAMENTOS</v>
      </c>
      <c r="C209" s="263"/>
      <c r="D209" s="263"/>
      <c r="E209" s="263"/>
      <c r="F209" s="263"/>
      <c r="G209" s="263"/>
      <c r="H209" s="263"/>
      <c r="I209" s="263"/>
      <c r="J209" s="263"/>
      <c r="K209" s="263"/>
      <c r="L209" s="263"/>
      <c r="M209" s="263"/>
      <c r="N209" s="263"/>
      <c r="O209" s="263"/>
      <c r="P209" s="263"/>
      <c r="Q209" s="263"/>
      <c r="R209" s="263"/>
      <c r="S209" s="287"/>
      <c r="T209" s="264"/>
    </row>
    <row r="210" spans="1:20" ht="15.75" thickBot="1">
      <c r="A210" s="490" t="s">
        <v>979</v>
      </c>
      <c r="B210" s="492" t="str">
        <f>PLANILHA!C313</f>
        <v>FORNECIMENTO DE EQUIPAMENTO E MÃO DE OBRA ESPECIFICOS PARA FUNCIONAMENTO DA FONTE. CONJUNTO MOTO BOMBA 5 CV, RALO DE SUCÇÃO CILINDRICO, BICO TIPO SÓLIDO, FIXO VERTICAL. PROJETOR SBAQUATICO BLINDADO DE LED, PAINEL DE COMANDO, FILTRO 75KG, BOMBA 1/2 CAVALO, GRELHA 150, DISPOSITIVO DE RETOR, DISPOSITIVO DE ASPIRAÇÃO, DISPOSITIVO DE REG, BOMBA DRENAGEM 0,5 CV, OZONIZADOR, PAINEL DE COMANDO.</v>
      </c>
      <c r="C210" s="493"/>
      <c r="D210" s="493"/>
      <c r="E210" s="493"/>
      <c r="F210" s="493"/>
      <c r="G210" s="493"/>
      <c r="H210" s="493"/>
      <c r="I210" s="493"/>
      <c r="J210" s="493"/>
      <c r="K210" s="493"/>
      <c r="L210" s="493"/>
      <c r="M210" s="493"/>
      <c r="N210" s="493"/>
      <c r="O210" s="493"/>
      <c r="P210" s="493"/>
      <c r="Q210" s="493"/>
      <c r="R210" s="494"/>
      <c r="S210" s="495" t="s">
        <v>340</v>
      </c>
      <c r="T210" s="497">
        <f>D211</f>
        <v>1</v>
      </c>
    </row>
    <row r="211" spans="1:20" ht="15.75" thickBot="1">
      <c r="A211" s="499"/>
      <c r="B211" s="82"/>
      <c r="C211" s="82"/>
      <c r="D211" s="82">
        <v>1</v>
      </c>
      <c r="E211" s="82"/>
      <c r="F211" s="260"/>
      <c r="G211" s="82"/>
      <c r="H211" s="97"/>
      <c r="I211" s="82"/>
      <c r="J211" s="82"/>
      <c r="K211" s="82"/>
      <c r="L211" s="82"/>
      <c r="M211" s="82"/>
      <c r="N211" s="82"/>
      <c r="O211" s="82"/>
      <c r="P211" s="82"/>
      <c r="Q211" s="82"/>
      <c r="R211" s="82"/>
      <c r="S211" s="495"/>
      <c r="T211" s="504"/>
    </row>
    <row r="212" spans="1:20" ht="15.75" thickBot="1">
      <c r="A212" s="288" t="s">
        <v>983</v>
      </c>
      <c r="B212" s="262" t="str">
        <f>PLANILHA!B314</f>
        <v>ACABAMENTOS E OUTROS</v>
      </c>
      <c r="C212" s="263"/>
      <c r="D212" s="263"/>
      <c r="E212" s="263"/>
      <c r="F212" s="263"/>
      <c r="G212" s="263"/>
      <c r="H212" s="263"/>
      <c r="I212" s="263"/>
      <c r="J212" s="263"/>
      <c r="K212" s="263"/>
      <c r="L212" s="263"/>
      <c r="M212" s="263"/>
      <c r="N212" s="263"/>
      <c r="O212" s="263"/>
      <c r="P212" s="263"/>
      <c r="Q212" s="263"/>
      <c r="R212" s="263"/>
      <c r="S212" s="287"/>
      <c r="T212" s="264"/>
    </row>
    <row r="213" spans="1:20" ht="15.75" thickBot="1">
      <c r="A213" s="490" t="s">
        <v>985</v>
      </c>
      <c r="B213" s="492" t="str">
        <f>PLANILHA!C315</f>
        <v>Grelha largura 20 cm de ferro redondo de 1/2" a cada 3 cm, contorno com barra de ferro de 3/4" x 1/8" e caixilho de cantoneira de 1" x 3/16"</v>
      </c>
      <c r="C213" s="493"/>
      <c r="D213" s="493"/>
      <c r="E213" s="493"/>
      <c r="F213" s="493"/>
      <c r="G213" s="493"/>
      <c r="H213" s="493"/>
      <c r="I213" s="493"/>
      <c r="J213" s="493"/>
      <c r="K213" s="493"/>
      <c r="L213" s="493"/>
      <c r="M213" s="493"/>
      <c r="N213" s="493"/>
      <c r="O213" s="493"/>
      <c r="P213" s="493"/>
      <c r="Q213" s="493"/>
      <c r="R213" s="494"/>
      <c r="S213" s="495" t="s">
        <v>49</v>
      </c>
      <c r="T213" s="497">
        <f>R214</f>
        <v>26.4</v>
      </c>
    </row>
    <row r="214" spans="1:20" ht="15.75" thickBot="1">
      <c r="A214" s="499"/>
      <c r="B214" s="82" t="s">
        <v>1155</v>
      </c>
      <c r="C214" s="82"/>
      <c r="D214" s="82">
        <v>3</v>
      </c>
      <c r="E214" s="82"/>
      <c r="F214" s="260">
        <v>4.4000000000000004</v>
      </c>
      <c r="G214" s="82"/>
      <c r="H214" s="97"/>
      <c r="I214" s="82"/>
      <c r="J214" s="82"/>
      <c r="K214" s="82"/>
      <c r="L214" s="82"/>
      <c r="M214" s="82"/>
      <c r="N214" s="82"/>
      <c r="O214" s="82"/>
      <c r="P214" s="82"/>
      <c r="Q214" s="82">
        <v>2</v>
      </c>
      <c r="R214" s="82">
        <f>TRUNC(((Q214*F214*D214)),2)</f>
        <v>26.4</v>
      </c>
      <c r="S214" s="495"/>
      <c r="T214" s="504"/>
    </row>
    <row r="215" spans="1:20" ht="15.75" thickBot="1">
      <c r="A215" s="490" t="s">
        <v>991</v>
      </c>
      <c r="B215" s="492" t="str">
        <f>PLANILHA!C316</f>
        <v>Piso argamassa alta resistência tipo granilite ou equiv de qualidade comprovada, esp de 10mm, com juntas plástica em quadros de 1m, na cor natural, com acabamento polido mecanizado, inclusive regularização e=3.0cm</v>
      </c>
      <c r="C215" s="493"/>
      <c r="D215" s="493"/>
      <c r="E215" s="493"/>
      <c r="F215" s="493"/>
      <c r="G215" s="493"/>
      <c r="H215" s="493"/>
      <c r="I215" s="493"/>
      <c r="J215" s="493"/>
      <c r="K215" s="493"/>
      <c r="L215" s="493"/>
      <c r="M215" s="493"/>
      <c r="N215" s="493"/>
      <c r="O215" s="493"/>
      <c r="P215" s="493"/>
      <c r="Q215" s="493"/>
      <c r="R215" s="494"/>
      <c r="S215" s="495" t="s">
        <v>35</v>
      </c>
      <c r="T215" s="497">
        <f>R216</f>
        <v>42.12</v>
      </c>
    </row>
    <row r="216" spans="1:20" ht="15.75" thickBot="1">
      <c r="A216" s="499"/>
      <c r="B216" s="82"/>
      <c r="C216" s="82"/>
      <c r="D216" s="82"/>
      <c r="E216" s="82"/>
      <c r="F216" s="260"/>
      <c r="G216" s="82">
        <v>7.8</v>
      </c>
      <c r="H216" s="97">
        <v>5.4</v>
      </c>
      <c r="I216" s="82"/>
      <c r="J216" s="82"/>
      <c r="K216" s="82"/>
      <c r="L216" s="82"/>
      <c r="M216" s="82"/>
      <c r="N216" s="82"/>
      <c r="O216" s="82"/>
      <c r="P216" s="82"/>
      <c r="Q216" s="82"/>
      <c r="R216" s="82">
        <f>TRUNC(((G216*H216)),2)</f>
        <v>42.12</v>
      </c>
      <c r="S216" s="495"/>
      <c r="T216" s="504"/>
    </row>
    <row r="217" spans="1:20" ht="15.75" thickBot="1">
      <c r="A217" s="490" t="s">
        <v>992</v>
      </c>
      <c r="B217" s="492" t="str">
        <f>PLANILHA!C317</f>
        <v xml:space="preserve">TAMPÃO FERRO FUNDIDO, ARTICULADO, 120 X 95 - FORNECIMENTO E INSTALAÇÃO. </v>
      </c>
      <c r="C217" s="493"/>
      <c r="D217" s="493"/>
      <c r="E217" s="493"/>
      <c r="F217" s="493"/>
      <c r="G217" s="493"/>
      <c r="H217" s="493"/>
      <c r="I217" s="493"/>
      <c r="J217" s="493"/>
      <c r="K217" s="493"/>
      <c r="L217" s="493"/>
      <c r="M217" s="493"/>
      <c r="N217" s="493"/>
      <c r="O217" s="493"/>
      <c r="P217" s="493"/>
      <c r="Q217" s="493"/>
      <c r="R217" s="494"/>
      <c r="S217" s="495" t="s">
        <v>340</v>
      </c>
      <c r="T217" s="497">
        <f>D218</f>
        <v>2</v>
      </c>
    </row>
    <row r="218" spans="1:20" ht="15.75" thickBot="1">
      <c r="A218" s="499"/>
      <c r="B218" s="82"/>
      <c r="C218" s="82"/>
      <c r="D218" s="82">
        <v>2</v>
      </c>
      <c r="E218" s="82"/>
      <c r="F218" s="260"/>
      <c r="G218" s="82"/>
      <c r="H218" s="97"/>
      <c r="I218" s="82"/>
      <c r="J218" s="82"/>
      <c r="K218" s="82"/>
      <c r="L218" s="82"/>
      <c r="M218" s="82"/>
      <c r="N218" s="82"/>
      <c r="O218" s="82"/>
      <c r="P218" s="82"/>
      <c r="Q218" s="82"/>
      <c r="R218" s="82"/>
      <c r="S218" s="495"/>
      <c r="T218" s="504"/>
    </row>
    <row r="219" spans="1:20">
      <c r="A219" s="490" t="s">
        <v>993</v>
      </c>
      <c r="B219" s="492" t="str">
        <f>PLANILHA!C318</f>
        <v xml:space="preserve"> Índice de imperm.c/ manta asfáltica atendendo NBR 9952, asfalto polimerizado esp.3mm, reforç.c/ filme int. polietileno, regul. base c/ arg.1:4 esp.mín.15mm, proteção mec. arg.1:4 esp.20mm e juntas dilat.</v>
      </c>
      <c r="C219" s="493"/>
      <c r="D219" s="493"/>
      <c r="E219" s="493"/>
      <c r="F219" s="493"/>
      <c r="G219" s="493"/>
      <c r="H219" s="493"/>
      <c r="I219" s="493"/>
      <c r="J219" s="493"/>
      <c r="K219" s="493"/>
      <c r="L219" s="493"/>
      <c r="M219" s="493"/>
      <c r="N219" s="493"/>
      <c r="O219" s="493"/>
      <c r="P219" s="493"/>
      <c r="Q219" s="493"/>
      <c r="R219" s="494"/>
      <c r="S219" s="501" t="s">
        <v>35</v>
      </c>
      <c r="T219" s="497">
        <f>R220+R222+R221+R223</f>
        <v>8.8000000000000007</v>
      </c>
    </row>
    <row r="220" spans="1:20">
      <c r="A220" s="499"/>
      <c r="B220" s="88" t="s">
        <v>1156</v>
      </c>
      <c r="C220" s="82"/>
      <c r="D220" s="82">
        <v>2</v>
      </c>
      <c r="E220" s="82"/>
      <c r="F220" s="260">
        <v>0.5</v>
      </c>
      <c r="G220" s="82"/>
      <c r="H220" s="97">
        <v>0.5</v>
      </c>
      <c r="I220" s="82"/>
      <c r="J220" s="82"/>
      <c r="K220" s="82"/>
      <c r="L220" s="82"/>
      <c r="M220" s="82"/>
      <c r="N220" s="82"/>
      <c r="O220" s="82"/>
      <c r="P220" s="82"/>
      <c r="Q220" s="82"/>
      <c r="R220" s="82">
        <f>TRUNC(((D220*F220*H220)),2)</f>
        <v>0.5</v>
      </c>
      <c r="S220" s="502"/>
      <c r="T220" s="504"/>
    </row>
    <row r="221" spans="1:20">
      <c r="A221" s="499"/>
      <c r="B221" s="88" t="s">
        <v>1157</v>
      </c>
      <c r="C221" s="82"/>
      <c r="D221" s="82">
        <v>2</v>
      </c>
      <c r="E221" s="82"/>
      <c r="F221" s="260">
        <v>0.5</v>
      </c>
      <c r="G221" s="82"/>
      <c r="H221" s="97">
        <v>0.5</v>
      </c>
      <c r="I221" s="82"/>
      <c r="J221" s="82"/>
      <c r="K221" s="82"/>
      <c r="L221" s="82"/>
      <c r="M221" s="82"/>
      <c r="N221" s="82"/>
      <c r="O221" s="82"/>
      <c r="P221" s="82"/>
      <c r="Q221" s="82"/>
      <c r="R221" s="82">
        <f>TRUNC(((D221*F221*H221)),2)</f>
        <v>0.5</v>
      </c>
      <c r="S221" s="502"/>
      <c r="T221" s="504"/>
    </row>
    <row r="222" spans="1:20">
      <c r="A222" s="499"/>
      <c r="B222" s="88" t="s">
        <v>1158</v>
      </c>
      <c r="C222" s="82"/>
      <c r="D222" s="82">
        <v>2</v>
      </c>
      <c r="E222" s="82"/>
      <c r="F222" s="260">
        <v>2</v>
      </c>
      <c r="G222" s="82"/>
      <c r="H222" s="97">
        <v>1.3</v>
      </c>
      <c r="I222" s="82"/>
      <c r="J222" s="82"/>
      <c r="K222" s="82"/>
      <c r="L222" s="82"/>
      <c r="M222" s="82"/>
      <c r="N222" s="82"/>
      <c r="O222" s="82"/>
      <c r="P222" s="82"/>
      <c r="Q222" s="82"/>
      <c r="R222" s="82">
        <f>TRUNC(((D222*F222*H222)),2)</f>
        <v>5.2</v>
      </c>
      <c r="S222" s="502"/>
      <c r="T222" s="504"/>
    </row>
    <row r="223" spans="1:20" ht="15.75" thickBot="1">
      <c r="A223" s="500"/>
      <c r="B223" s="88" t="s">
        <v>1159</v>
      </c>
      <c r="C223" s="82"/>
      <c r="D223" s="82">
        <v>2</v>
      </c>
      <c r="E223" s="82"/>
      <c r="F223" s="260">
        <v>1</v>
      </c>
      <c r="G223" s="82"/>
      <c r="H223" s="97">
        <v>1.3</v>
      </c>
      <c r="I223" s="82"/>
      <c r="J223" s="82"/>
      <c r="K223" s="82"/>
      <c r="L223" s="82"/>
      <c r="M223" s="82"/>
      <c r="N223" s="82"/>
      <c r="O223" s="82"/>
      <c r="P223" s="82"/>
      <c r="Q223" s="82"/>
      <c r="R223" s="82">
        <f>TRUNC(((D223*F223*H223)),2)</f>
        <v>2.6</v>
      </c>
      <c r="S223" s="503"/>
      <c r="T223" s="505"/>
    </row>
    <row r="224" spans="1:20">
      <c r="A224" s="490" t="s">
        <v>994</v>
      </c>
      <c r="B224" s="492" t="str">
        <f>PLANILHA!C319</f>
        <v>Piso cerâmico esmaltado, PEI 5, acabamento semibrilho, dim. 45x45cm, ref. de cor CARGO PLUS WHITE Eliane/equiv. assentado com argamassa de cimento colante, inclusive rejuntamento ( INTERNO CAIXA DAGUA)</v>
      </c>
      <c r="C224" s="493"/>
      <c r="D224" s="493"/>
      <c r="E224" s="493"/>
      <c r="F224" s="493"/>
      <c r="G224" s="493"/>
      <c r="H224" s="493"/>
      <c r="I224" s="493"/>
      <c r="J224" s="493"/>
      <c r="K224" s="493"/>
      <c r="L224" s="493"/>
      <c r="M224" s="493"/>
      <c r="N224" s="493"/>
      <c r="O224" s="493"/>
      <c r="P224" s="493"/>
      <c r="Q224" s="493"/>
      <c r="R224" s="494"/>
      <c r="S224" s="501" t="s">
        <v>35</v>
      </c>
      <c r="T224" s="497">
        <f>R225+R226</f>
        <v>7.8</v>
      </c>
    </row>
    <row r="225" spans="1:21">
      <c r="A225" s="499"/>
      <c r="B225" s="88" t="s">
        <v>1160</v>
      </c>
      <c r="C225" s="82"/>
      <c r="D225" s="82">
        <v>2</v>
      </c>
      <c r="E225" s="82"/>
      <c r="F225" s="260">
        <v>2</v>
      </c>
      <c r="G225" s="82"/>
      <c r="H225" s="97">
        <v>1.3</v>
      </c>
      <c r="I225" s="82"/>
      <c r="J225" s="82"/>
      <c r="K225" s="82"/>
      <c r="L225" s="82"/>
      <c r="M225" s="82"/>
      <c r="N225" s="82"/>
      <c r="O225" s="82"/>
      <c r="P225" s="82"/>
      <c r="Q225" s="82"/>
      <c r="R225" s="82">
        <f>TRUNC(((D225*F225*H225)),2)</f>
        <v>5.2</v>
      </c>
      <c r="S225" s="502"/>
      <c r="T225" s="504"/>
    </row>
    <row r="226" spans="1:21" ht="15.75" thickBot="1">
      <c r="A226" s="500"/>
      <c r="B226" s="88" t="s">
        <v>1129</v>
      </c>
      <c r="C226" s="82"/>
      <c r="D226" s="82">
        <v>2</v>
      </c>
      <c r="E226" s="82"/>
      <c r="F226" s="260">
        <v>1</v>
      </c>
      <c r="G226" s="82"/>
      <c r="H226" s="97">
        <v>1.3</v>
      </c>
      <c r="I226" s="82"/>
      <c r="J226" s="82"/>
      <c r="K226" s="82"/>
      <c r="L226" s="82"/>
      <c r="M226" s="82"/>
      <c r="N226" s="82"/>
      <c r="O226" s="82"/>
      <c r="P226" s="82"/>
      <c r="Q226" s="82"/>
      <c r="R226" s="82">
        <f>TRUNC(((D226*F226*H226)),2)</f>
        <v>2.6</v>
      </c>
      <c r="S226" s="503"/>
      <c r="T226" s="505"/>
    </row>
    <row r="227" spans="1:21" ht="15.75" thickBot="1">
      <c r="A227" s="490" t="s">
        <v>995</v>
      </c>
      <c r="B227" s="492" t="str">
        <f>PLANILHA!C320</f>
        <v>Escada tipo marinheiro de tubo de ferro 1" e 3/4", com h=4.20m, para acesso a caixa d'água, inclusive pintura em esmalte sintético, conforme detalhe em projeto ( adaptado )</v>
      </c>
      <c r="C227" s="493"/>
      <c r="D227" s="493"/>
      <c r="E227" s="493"/>
      <c r="F227" s="493"/>
      <c r="G227" s="493"/>
      <c r="H227" s="493"/>
      <c r="I227" s="493"/>
      <c r="J227" s="493"/>
      <c r="K227" s="493"/>
      <c r="L227" s="493"/>
      <c r="M227" s="493"/>
      <c r="N227" s="493"/>
      <c r="O227" s="493"/>
      <c r="P227" s="493"/>
      <c r="Q227" s="493"/>
      <c r="R227" s="494"/>
      <c r="S227" s="495" t="s">
        <v>340</v>
      </c>
      <c r="T227" s="497">
        <f>D228</f>
        <v>2</v>
      </c>
    </row>
    <row r="228" spans="1:21" ht="12" customHeight="1" thickBot="1">
      <c r="A228" s="499"/>
      <c r="B228" s="82"/>
      <c r="C228" s="82"/>
      <c r="D228" s="82">
        <v>2</v>
      </c>
      <c r="E228" s="82"/>
      <c r="F228" s="260"/>
      <c r="G228" s="82"/>
      <c r="H228" s="97"/>
      <c r="I228" s="82"/>
      <c r="J228" s="82"/>
      <c r="K228" s="82"/>
      <c r="L228" s="82"/>
      <c r="M228" s="82"/>
      <c r="N228" s="82"/>
      <c r="O228" s="82"/>
      <c r="P228" s="82"/>
      <c r="Q228" s="82"/>
      <c r="R228" s="82"/>
      <c r="S228" s="495"/>
      <c r="T228" s="504"/>
    </row>
    <row r="229" spans="1:21" ht="15.75" thickBot="1">
      <c r="A229" s="288" t="s">
        <v>983</v>
      </c>
      <c r="B229" s="262" t="s">
        <v>998</v>
      </c>
      <c r="C229" s="263"/>
      <c r="D229" s="263"/>
      <c r="E229" s="263"/>
      <c r="F229" s="263"/>
      <c r="G229" s="263"/>
      <c r="H229" s="263"/>
      <c r="I229" s="263"/>
      <c r="J229" s="263"/>
      <c r="K229" s="263"/>
      <c r="L229" s="263"/>
      <c r="M229" s="263"/>
      <c r="N229" s="263"/>
      <c r="O229" s="263"/>
      <c r="P229" s="263"/>
      <c r="Q229" s="263"/>
      <c r="R229" s="263"/>
      <c r="S229" s="287"/>
      <c r="T229" s="264"/>
    </row>
    <row r="230" spans="1:21" ht="15.75" thickBot="1">
      <c r="A230" s="490" t="s">
        <v>999</v>
      </c>
      <c r="B230" s="492" t="str">
        <f>PLANILHA!C322</f>
        <v>BANCO DE ALVENARIA DE BLOCO DE CONCRETO COM REVESTIMENTO EM GRANITO CINZA ANDORINHA, DIM 2,5 X 0,6 X 0,43</v>
      </c>
      <c r="C230" s="493"/>
      <c r="D230" s="493"/>
      <c r="E230" s="493"/>
      <c r="F230" s="493"/>
      <c r="G230" s="493"/>
      <c r="H230" s="493"/>
      <c r="I230" s="493"/>
      <c r="J230" s="493"/>
      <c r="K230" s="493"/>
      <c r="L230" s="493"/>
      <c r="M230" s="493"/>
      <c r="N230" s="493"/>
      <c r="O230" s="493"/>
      <c r="P230" s="493"/>
      <c r="Q230" s="493"/>
      <c r="R230" s="494"/>
      <c r="S230" s="495" t="s">
        <v>340</v>
      </c>
      <c r="T230" s="497">
        <f>D231</f>
        <v>4</v>
      </c>
    </row>
    <row r="231" spans="1:21" ht="12" customHeight="1" thickBot="1">
      <c r="A231" s="491"/>
      <c r="B231" s="289"/>
      <c r="C231" s="289"/>
      <c r="D231" s="289">
        <v>4</v>
      </c>
      <c r="E231" s="289"/>
      <c r="F231" s="290"/>
      <c r="G231" s="289"/>
      <c r="H231" s="291"/>
      <c r="I231" s="289"/>
      <c r="J231" s="289"/>
      <c r="K231" s="289"/>
      <c r="L231" s="289"/>
      <c r="M231" s="289"/>
      <c r="N231" s="289"/>
      <c r="O231" s="289"/>
      <c r="P231" s="289"/>
      <c r="Q231" s="289"/>
      <c r="R231" s="289"/>
      <c r="S231" s="496"/>
      <c r="T231" s="498"/>
    </row>
    <row r="232" spans="1:21" ht="123" customHeight="1">
      <c r="A232" s="524" t="s">
        <v>1183</v>
      </c>
      <c r="B232" s="524"/>
      <c r="C232" s="524"/>
      <c r="D232" s="524"/>
      <c r="E232" s="524"/>
      <c r="F232" s="524"/>
      <c r="G232" s="524"/>
      <c r="H232" s="524"/>
      <c r="I232" s="524"/>
      <c r="J232" s="524"/>
      <c r="K232" s="524"/>
      <c r="L232" s="524"/>
      <c r="M232" s="524"/>
      <c r="N232" s="524"/>
      <c r="O232" s="524"/>
      <c r="P232" s="524"/>
      <c r="Q232" s="524"/>
      <c r="R232" s="524"/>
      <c r="S232" s="524"/>
      <c r="T232" s="524"/>
      <c r="U232" s="6"/>
    </row>
  </sheetData>
  <mergeCells count="249">
    <mergeCell ref="A232:T232"/>
    <mergeCell ref="V5:X5"/>
    <mergeCell ref="A1:T4"/>
    <mergeCell ref="A8:A9"/>
    <mergeCell ref="B8:R8"/>
    <mergeCell ref="S8:S9"/>
    <mergeCell ref="T8:T9"/>
    <mergeCell ref="A10:A14"/>
    <mergeCell ref="B10:R10"/>
    <mergeCell ref="S10:S14"/>
    <mergeCell ref="T10:T14"/>
    <mergeCell ref="R11:R14"/>
    <mergeCell ref="A32:A53"/>
    <mergeCell ref="B32:R32"/>
    <mergeCell ref="S32:S53"/>
    <mergeCell ref="T32:T53"/>
    <mergeCell ref="B33:B36"/>
    <mergeCell ref="B37:B40"/>
    <mergeCell ref="B41:B44"/>
    <mergeCell ref="B45:B48"/>
    <mergeCell ref="A16:A18"/>
    <mergeCell ref="B16:R16"/>
    <mergeCell ref="S16:S18"/>
    <mergeCell ref="T16:T18"/>
    <mergeCell ref="A20:A31"/>
    <mergeCell ref="B20:R20"/>
    <mergeCell ref="S20:S31"/>
    <mergeCell ref="T20:T31"/>
    <mergeCell ref="A73:A76"/>
    <mergeCell ref="B73:R73"/>
    <mergeCell ref="S73:S76"/>
    <mergeCell ref="T73:T76"/>
    <mergeCell ref="A77:A81"/>
    <mergeCell ref="B77:R77"/>
    <mergeCell ref="S77:S81"/>
    <mergeCell ref="T77:T81"/>
    <mergeCell ref="A54:A66"/>
    <mergeCell ref="B54:R54"/>
    <mergeCell ref="S54:S66"/>
    <mergeCell ref="T54:T66"/>
    <mergeCell ref="A67:A71"/>
    <mergeCell ref="B67:R67"/>
    <mergeCell ref="S67:S71"/>
    <mergeCell ref="T67:T71"/>
    <mergeCell ref="A92:A93"/>
    <mergeCell ref="B92:R92"/>
    <mergeCell ref="S92:S93"/>
    <mergeCell ref="T92:T93"/>
    <mergeCell ref="A95:A96"/>
    <mergeCell ref="B95:R95"/>
    <mergeCell ref="S95:S96"/>
    <mergeCell ref="T95:T96"/>
    <mergeCell ref="A82:A86"/>
    <mergeCell ref="B82:R82"/>
    <mergeCell ref="S82:S86"/>
    <mergeCell ref="T82:T86"/>
    <mergeCell ref="A87:A91"/>
    <mergeCell ref="B87:R87"/>
    <mergeCell ref="S87:S91"/>
    <mergeCell ref="T87:T91"/>
    <mergeCell ref="R88:R91"/>
    <mergeCell ref="A101:A102"/>
    <mergeCell ref="B101:R101"/>
    <mergeCell ref="S101:S102"/>
    <mergeCell ref="T101:T102"/>
    <mergeCell ref="A103:A104"/>
    <mergeCell ref="B103:R103"/>
    <mergeCell ref="S103:S104"/>
    <mergeCell ref="T103:T104"/>
    <mergeCell ref="A97:A98"/>
    <mergeCell ref="B97:R97"/>
    <mergeCell ref="S97:S98"/>
    <mergeCell ref="T97:T98"/>
    <mergeCell ref="A99:A100"/>
    <mergeCell ref="B99:R99"/>
    <mergeCell ref="S99:S100"/>
    <mergeCell ref="T99:T100"/>
    <mergeCell ref="A109:A110"/>
    <mergeCell ref="B109:R109"/>
    <mergeCell ref="S109:S110"/>
    <mergeCell ref="T109:T110"/>
    <mergeCell ref="A111:A115"/>
    <mergeCell ref="B111:R111"/>
    <mergeCell ref="S111:S115"/>
    <mergeCell ref="T111:T115"/>
    <mergeCell ref="A105:A106"/>
    <mergeCell ref="B105:R105"/>
    <mergeCell ref="S105:S106"/>
    <mergeCell ref="T105:T106"/>
    <mergeCell ref="A107:A108"/>
    <mergeCell ref="B107:R107"/>
    <mergeCell ref="S107:S108"/>
    <mergeCell ref="T107:T108"/>
    <mergeCell ref="A120:A121"/>
    <mergeCell ref="B120:R120"/>
    <mergeCell ref="S120:S121"/>
    <mergeCell ref="T120:T121"/>
    <mergeCell ref="A122:A123"/>
    <mergeCell ref="B122:R122"/>
    <mergeCell ref="S122:S123"/>
    <mergeCell ref="T122:T123"/>
    <mergeCell ref="A116:A117"/>
    <mergeCell ref="B116:R116"/>
    <mergeCell ref="S116:S117"/>
    <mergeCell ref="T116:T117"/>
    <mergeCell ref="A118:A119"/>
    <mergeCell ref="B118:R118"/>
    <mergeCell ref="S118:S119"/>
    <mergeCell ref="T118:T119"/>
    <mergeCell ref="A128:A129"/>
    <mergeCell ref="B128:R128"/>
    <mergeCell ref="S128:S129"/>
    <mergeCell ref="T128:T129"/>
    <mergeCell ref="A130:A131"/>
    <mergeCell ref="B130:R130"/>
    <mergeCell ref="S130:S131"/>
    <mergeCell ref="T130:T131"/>
    <mergeCell ref="A124:A125"/>
    <mergeCell ref="B124:R124"/>
    <mergeCell ref="S124:S125"/>
    <mergeCell ref="T124:T125"/>
    <mergeCell ref="A126:A127"/>
    <mergeCell ref="B126:R126"/>
    <mergeCell ref="S126:S127"/>
    <mergeCell ref="T126:T127"/>
    <mergeCell ref="A140:A142"/>
    <mergeCell ref="B140:R140"/>
    <mergeCell ref="S140:S142"/>
    <mergeCell ref="T140:T142"/>
    <mergeCell ref="A143:A144"/>
    <mergeCell ref="B143:R143"/>
    <mergeCell ref="S143:S144"/>
    <mergeCell ref="T143:T144"/>
    <mergeCell ref="A132:A137"/>
    <mergeCell ref="B132:R132"/>
    <mergeCell ref="S132:S137"/>
    <mergeCell ref="T132:T137"/>
    <mergeCell ref="A138:A139"/>
    <mergeCell ref="B138:R138"/>
    <mergeCell ref="S138:S139"/>
    <mergeCell ref="T138:T139"/>
    <mergeCell ref="A150:A151"/>
    <mergeCell ref="B150:R150"/>
    <mergeCell ref="S150:S151"/>
    <mergeCell ref="T150:T151"/>
    <mergeCell ref="A152:A154"/>
    <mergeCell ref="B152:R152"/>
    <mergeCell ref="S152:S154"/>
    <mergeCell ref="T152:T154"/>
    <mergeCell ref="A145:A146"/>
    <mergeCell ref="B145:R145"/>
    <mergeCell ref="S145:S146"/>
    <mergeCell ref="T145:T146"/>
    <mergeCell ref="A148:A149"/>
    <mergeCell ref="B148:R148"/>
    <mergeCell ref="S148:S149"/>
    <mergeCell ref="T148:T149"/>
    <mergeCell ref="A167:A168"/>
    <mergeCell ref="B167:R167"/>
    <mergeCell ref="S167:S168"/>
    <mergeCell ref="T167:T168"/>
    <mergeCell ref="A169:A170"/>
    <mergeCell ref="B169:R169"/>
    <mergeCell ref="S169:S170"/>
    <mergeCell ref="T169:T170"/>
    <mergeCell ref="A155:A164"/>
    <mergeCell ref="B155:R155"/>
    <mergeCell ref="S155:S164"/>
    <mergeCell ref="T155:T164"/>
    <mergeCell ref="A165:A166"/>
    <mergeCell ref="B165:R165"/>
    <mergeCell ref="S165:S166"/>
    <mergeCell ref="T165:T166"/>
    <mergeCell ref="A189:A190"/>
    <mergeCell ref="B189:R189"/>
    <mergeCell ref="S189:S190"/>
    <mergeCell ref="T189:T190"/>
    <mergeCell ref="A191:A192"/>
    <mergeCell ref="B191:R191"/>
    <mergeCell ref="S191:S192"/>
    <mergeCell ref="T191:T192"/>
    <mergeCell ref="A171:A185"/>
    <mergeCell ref="B171:R171"/>
    <mergeCell ref="S171:S185"/>
    <mergeCell ref="T171:T185"/>
    <mergeCell ref="A187:A188"/>
    <mergeCell ref="B187:R187"/>
    <mergeCell ref="S187:S188"/>
    <mergeCell ref="T187:T188"/>
    <mergeCell ref="A197:A198"/>
    <mergeCell ref="B197:R197"/>
    <mergeCell ref="S197:S198"/>
    <mergeCell ref="T197:T198"/>
    <mergeCell ref="A199:A201"/>
    <mergeCell ref="B199:R199"/>
    <mergeCell ref="S199:S201"/>
    <mergeCell ref="T199:T201"/>
    <mergeCell ref="A193:A194"/>
    <mergeCell ref="B193:R193"/>
    <mergeCell ref="S193:S194"/>
    <mergeCell ref="T193:T194"/>
    <mergeCell ref="A195:A196"/>
    <mergeCell ref="B195:R195"/>
    <mergeCell ref="S195:S196"/>
    <mergeCell ref="T195:T196"/>
    <mergeCell ref="A207:A208"/>
    <mergeCell ref="B207:R207"/>
    <mergeCell ref="S207:S208"/>
    <mergeCell ref="T207:T208"/>
    <mergeCell ref="A210:A211"/>
    <mergeCell ref="B210:R210"/>
    <mergeCell ref="S210:S211"/>
    <mergeCell ref="T210:T211"/>
    <mergeCell ref="A202:A204"/>
    <mergeCell ref="B202:R202"/>
    <mergeCell ref="S202:S204"/>
    <mergeCell ref="T202:T204"/>
    <mergeCell ref="A205:A206"/>
    <mergeCell ref="B205:R205"/>
    <mergeCell ref="S205:S206"/>
    <mergeCell ref="T205:T206"/>
    <mergeCell ref="A217:A218"/>
    <mergeCell ref="B217:R217"/>
    <mergeCell ref="S217:S218"/>
    <mergeCell ref="T217:T218"/>
    <mergeCell ref="A219:A223"/>
    <mergeCell ref="B219:R219"/>
    <mergeCell ref="S219:S223"/>
    <mergeCell ref="T219:T223"/>
    <mergeCell ref="A213:A214"/>
    <mergeCell ref="B213:R213"/>
    <mergeCell ref="S213:S214"/>
    <mergeCell ref="T213:T214"/>
    <mergeCell ref="A215:A216"/>
    <mergeCell ref="B215:R215"/>
    <mergeCell ref="S215:S216"/>
    <mergeCell ref="T215:T216"/>
    <mergeCell ref="A230:A231"/>
    <mergeCell ref="B230:R230"/>
    <mergeCell ref="S230:S231"/>
    <mergeCell ref="T230:T231"/>
    <mergeCell ref="A224:A226"/>
    <mergeCell ref="B224:R224"/>
    <mergeCell ref="S224:S226"/>
    <mergeCell ref="T224:T226"/>
    <mergeCell ref="A227:A228"/>
    <mergeCell ref="B227:R227"/>
    <mergeCell ref="S227:S228"/>
    <mergeCell ref="T227:T228"/>
  </mergeCells>
  <phoneticPr fontId="78" type="noConversion"/>
  <printOptions horizontalCentered="1"/>
  <pageMargins left="0.51181102362204722" right="0.51181102362204722" top="0.78740157480314965" bottom="0.59055118110236227" header="0.31496062992125984" footer="0.31496062992125984"/>
  <pageSetup paperSize="9" scale="5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45D89-4B82-42EA-B13B-8A7B8D442E7B}">
  <dimension ref="A1:I45"/>
  <sheetViews>
    <sheetView topLeftCell="A28" workbookViewId="0">
      <selection activeCell="F28" sqref="F28"/>
    </sheetView>
  </sheetViews>
  <sheetFormatPr defaultRowHeight="15"/>
  <cols>
    <col min="1" max="1" width="31.85546875" style="6" customWidth="1"/>
    <col min="2" max="4" width="9.140625" style="6"/>
    <col min="5" max="5" width="9.28515625" style="6" customWidth="1"/>
    <col min="6" max="16384" width="9.140625" style="6"/>
  </cols>
  <sheetData>
    <row r="1" spans="1:9">
      <c r="A1" s="559" t="s">
        <v>116</v>
      </c>
      <c r="B1" s="559"/>
      <c r="C1" s="559"/>
      <c r="D1" s="559"/>
      <c r="E1" s="559"/>
      <c r="F1" s="559"/>
      <c r="G1" s="559"/>
      <c r="H1" s="559"/>
      <c r="I1" s="559"/>
    </row>
    <row r="2" spans="1:9">
      <c r="A2" s="559"/>
      <c r="B2" s="559"/>
      <c r="C2" s="559"/>
      <c r="D2" s="559"/>
      <c r="E2" s="559"/>
      <c r="F2" s="559"/>
      <c r="G2" s="559"/>
      <c r="H2" s="559"/>
      <c r="I2" s="559"/>
    </row>
    <row r="3" spans="1:9">
      <c r="A3" s="559"/>
      <c r="B3" s="559"/>
      <c r="C3" s="559"/>
      <c r="D3" s="559"/>
      <c r="E3" s="559"/>
      <c r="F3" s="559"/>
      <c r="G3" s="559"/>
      <c r="H3" s="559"/>
      <c r="I3" s="559"/>
    </row>
    <row r="4" spans="1:9">
      <c r="A4" s="559"/>
      <c r="B4" s="559"/>
      <c r="C4" s="559"/>
      <c r="D4" s="559"/>
      <c r="E4" s="559"/>
      <c r="F4" s="559"/>
      <c r="G4" s="559"/>
      <c r="H4" s="559"/>
      <c r="I4" s="559"/>
    </row>
    <row r="5" spans="1:9">
      <c r="A5" s="540"/>
      <c r="B5" s="540"/>
      <c r="C5" s="540"/>
      <c r="D5" s="540"/>
      <c r="E5" s="540"/>
      <c r="F5" s="540"/>
      <c r="G5" s="540"/>
      <c r="H5" s="540"/>
      <c r="I5" s="540"/>
    </row>
    <row r="6" spans="1:9">
      <c r="A6" s="541"/>
      <c r="B6" s="541"/>
      <c r="C6" s="541"/>
      <c r="D6" s="541"/>
      <c r="E6" s="541"/>
      <c r="F6" s="541"/>
      <c r="G6" s="541" t="s">
        <v>839</v>
      </c>
      <c r="H6" s="541"/>
      <c r="I6" s="541"/>
    </row>
    <row r="7" spans="1:9">
      <c r="A7" s="540"/>
      <c r="B7" s="540"/>
      <c r="C7" s="540"/>
      <c r="D7" s="540"/>
      <c r="E7" s="540"/>
      <c r="F7" s="540"/>
      <c r="G7" s="540"/>
      <c r="H7" s="540"/>
      <c r="I7" s="540"/>
    </row>
    <row r="8" spans="1:9" ht="49.5" customHeight="1">
      <c r="A8" s="560" t="s">
        <v>862</v>
      </c>
      <c r="B8" s="560"/>
      <c r="C8" s="560"/>
      <c r="D8" s="560"/>
      <c r="E8" s="560"/>
      <c r="F8" s="560"/>
      <c r="G8" s="560"/>
      <c r="H8" s="559" t="s">
        <v>841</v>
      </c>
      <c r="I8" s="559"/>
    </row>
    <row r="9" spans="1:9">
      <c r="A9" s="541"/>
      <c r="B9" s="541"/>
      <c r="C9" s="541"/>
      <c r="D9" s="541"/>
      <c r="E9" s="541"/>
      <c r="F9" s="541"/>
      <c r="G9" s="541"/>
      <c r="H9" s="541"/>
      <c r="I9" s="541"/>
    </row>
    <row r="10" spans="1:9">
      <c r="A10" s="540"/>
      <c r="B10" s="540"/>
      <c r="C10" s="540"/>
      <c r="D10" s="540"/>
      <c r="E10" s="540"/>
      <c r="F10" s="540"/>
      <c r="G10" s="540"/>
      <c r="H10" s="540"/>
      <c r="I10" s="540"/>
    </row>
    <row r="11" spans="1:9" ht="30">
      <c r="A11" s="7" t="s">
        <v>11</v>
      </c>
      <c r="B11" s="8" t="s">
        <v>12</v>
      </c>
      <c r="C11" s="8" t="s">
        <v>13</v>
      </c>
      <c r="D11" s="9" t="s">
        <v>14</v>
      </c>
      <c r="E11" s="9" t="s">
        <v>15</v>
      </c>
      <c r="F11" s="18" t="s">
        <v>16</v>
      </c>
      <c r="G11" s="9" t="s">
        <v>17</v>
      </c>
      <c r="H11" s="9" t="s">
        <v>18</v>
      </c>
      <c r="I11" s="9" t="s">
        <v>19</v>
      </c>
    </row>
    <row r="12" spans="1:9" ht="26.25" customHeight="1">
      <c r="A12" s="169" t="s">
        <v>857</v>
      </c>
      <c r="B12" s="170" t="s">
        <v>20</v>
      </c>
      <c r="C12" s="170">
        <v>10121</v>
      </c>
      <c r="D12" s="171">
        <v>0.15</v>
      </c>
      <c r="E12" s="172">
        <v>1</v>
      </c>
      <c r="F12" s="173">
        <v>24.1</v>
      </c>
      <c r="G12" s="174">
        <v>0</v>
      </c>
      <c r="H12" s="175">
        <v>24.1</v>
      </c>
      <c r="I12" s="171">
        <f>D12*H12</f>
        <v>3.62</v>
      </c>
    </row>
    <row r="13" spans="1:9" ht="26.25" customHeight="1">
      <c r="A13" s="169" t="s">
        <v>858</v>
      </c>
      <c r="B13" s="170" t="s">
        <v>20</v>
      </c>
      <c r="C13" s="170">
        <v>10111</v>
      </c>
      <c r="D13" s="171">
        <v>0.81</v>
      </c>
      <c r="E13" s="172">
        <v>1</v>
      </c>
      <c r="F13" s="173">
        <v>24.1</v>
      </c>
      <c r="G13" s="174">
        <v>0</v>
      </c>
      <c r="H13" s="175">
        <v>24.1</v>
      </c>
      <c r="I13" s="171">
        <f>D13*H13</f>
        <v>19.52</v>
      </c>
    </row>
    <row r="14" spans="1:9" ht="26.25" customHeight="1">
      <c r="A14" s="169" t="s">
        <v>843</v>
      </c>
      <c r="B14" s="170" t="s">
        <v>20</v>
      </c>
      <c r="C14" s="170">
        <v>10139</v>
      </c>
      <c r="D14" s="171">
        <v>0.47</v>
      </c>
      <c r="E14" s="172">
        <v>1</v>
      </c>
      <c r="F14" s="173">
        <v>24.1</v>
      </c>
      <c r="G14" s="174">
        <v>0</v>
      </c>
      <c r="H14" s="176">
        <v>24.1</v>
      </c>
      <c r="I14" s="171">
        <f>D14*H14</f>
        <v>11.33</v>
      </c>
    </row>
    <row r="15" spans="1:9" ht="30">
      <c r="A15" s="177" t="s">
        <v>844</v>
      </c>
      <c r="B15" s="170" t="s">
        <v>20</v>
      </c>
      <c r="C15" s="170">
        <v>10146</v>
      </c>
      <c r="D15" s="171">
        <v>1.43</v>
      </c>
      <c r="E15" s="178">
        <v>1</v>
      </c>
      <c r="F15" s="179">
        <v>17.88</v>
      </c>
      <c r="G15" s="172">
        <v>0</v>
      </c>
      <c r="H15" s="173">
        <v>17.88</v>
      </c>
      <c r="I15" s="168">
        <f>D15*H15</f>
        <v>25.57</v>
      </c>
    </row>
    <row r="16" spans="1:9">
      <c r="A16" s="551" t="s">
        <v>21</v>
      </c>
      <c r="B16" s="552"/>
      <c r="C16" s="552"/>
      <c r="D16" s="552"/>
      <c r="E16" s="552"/>
      <c r="F16" s="552"/>
      <c r="G16" s="552"/>
      <c r="H16" s="558"/>
      <c r="I16" s="16">
        <f>SUM(I12:I15)</f>
        <v>60.04</v>
      </c>
    </row>
    <row r="17" spans="1:9">
      <c r="A17" s="550"/>
      <c r="B17" s="550"/>
      <c r="C17" s="550"/>
      <c r="D17" s="550"/>
      <c r="E17" s="550"/>
      <c r="F17" s="550"/>
      <c r="G17" s="550"/>
      <c r="H17" s="550"/>
      <c r="I17" s="550"/>
    </row>
    <row r="18" spans="1:9" ht="30">
      <c r="A18" s="7" t="s">
        <v>37</v>
      </c>
      <c r="B18" s="8" t="s">
        <v>12</v>
      </c>
      <c r="C18" s="8" t="s">
        <v>13</v>
      </c>
      <c r="D18" s="9" t="s">
        <v>14</v>
      </c>
      <c r="E18" s="9" t="s">
        <v>15</v>
      </c>
      <c r="F18" s="18" t="s">
        <v>16</v>
      </c>
      <c r="G18" s="18" t="s">
        <v>17</v>
      </c>
      <c r="H18" s="18" t="s">
        <v>18</v>
      </c>
      <c r="I18" s="9" t="s">
        <v>19</v>
      </c>
    </row>
    <row r="19" spans="1:9">
      <c r="A19" s="10" t="s">
        <v>845</v>
      </c>
      <c r="B19" s="134" t="s">
        <v>846</v>
      </c>
      <c r="C19" s="134">
        <v>20503</v>
      </c>
      <c r="D19" s="135">
        <v>0.06</v>
      </c>
      <c r="E19" s="136">
        <v>1</v>
      </c>
      <c r="F19" s="137">
        <v>143.33000000000001</v>
      </c>
      <c r="G19" s="142">
        <v>0</v>
      </c>
      <c r="H19" s="137">
        <v>143.33000000000001</v>
      </c>
      <c r="I19" s="141">
        <f>D19*F19</f>
        <v>8.6</v>
      </c>
    </row>
    <row r="20" spans="1:9" ht="21" customHeight="1">
      <c r="A20" s="10" t="s">
        <v>847</v>
      </c>
      <c r="B20" s="134" t="s">
        <v>39</v>
      </c>
      <c r="C20" s="134">
        <v>20508</v>
      </c>
      <c r="D20" s="135">
        <v>22.57</v>
      </c>
      <c r="E20" s="136">
        <v>1</v>
      </c>
      <c r="F20" s="140">
        <v>0.56999999999999995</v>
      </c>
      <c r="G20" s="142">
        <v>0</v>
      </c>
      <c r="H20" s="140">
        <v>0.56999999999999995</v>
      </c>
      <c r="I20" s="141">
        <f t="shared" ref="I20:I28" si="0">D20*F20</f>
        <v>12.86</v>
      </c>
    </row>
    <row r="21" spans="1:9">
      <c r="A21" s="6" t="s">
        <v>848</v>
      </c>
      <c r="B21" s="134" t="s">
        <v>846</v>
      </c>
      <c r="C21" s="4">
        <v>20517</v>
      </c>
      <c r="D21" s="165">
        <v>1.4999999999999999E-2</v>
      </c>
      <c r="E21" s="136">
        <v>1</v>
      </c>
      <c r="F21" s="137">
        <v>156.71</v>
      </c>
      <c r="G21" s="142">
        <v>0</v>
      </c>
      <c r="H21" s="137">
        <v>156.71</v>
      </c>
      <c r="I21" s="141">
        <f t="shared" si="0"/>
        <v>2.35</v>
      </c>
    </row>
    <row r="22" spans="1:9">
      <c r="A22" s="10" t="s">
        <v>849</v>
      </c>
      <c r="B22" s="134" t="s">
        <v>846</v>
      </c>
      <c r="C22" s="134">
        <v>20518</v>
      </c>
      <c r="D22" s="135">
        <v>4.0800000000000003E-2</v>
      </c>
      <c r="E22" s="136">
        <v>1</v>
      </c>
      <c r="F22" s="137">
        <v>156.71</v>
      </c>
      <c r="G22" s="142">
        <v>0</v>
      </c>
      <c r="H22" s="137">
        <v>2.2799999999999998</v>
      </c>
      <c r="I22" s="141">
        <f t="shared" ref="I22:I23" si="1">D22*F22</f>
        <v>6.39</v>
      </c>
    </row>
    <row r="23" spans="1:9" ht="30">
      <c r="A23" s="132" t="s">
        <v>850</v>
      </c>
      <c r="B23" s="134" t="s">
        <v>38</v>
      </c>
      <c r="C23" s="134">
        <v>20985</v>
      </c>
      <c r="D23" s="135">
        <v>0.67</v>
      </c>
      <c r="E23" s="136">
        <v>1</v>
      </c>
      <c r="F23" s="137">
        <v>5.94</v>
      </c>
      <c r="G23" s="143">
        <v>0</v>
      </c>
      <c r="H23" s="137">
        <v>5.94</v>
      </c>
      <c r="I23" s="141">
        <f t="shared" si="1"/>
        <v>3.98</v>
      </c>
    </row>
    <row r="24" spans="1:9" ht="30">
      <c r="A24" s="10" t="s">
        <v>851</v>
      </c>
      <c r="B24" s="134" t="s">
        <v>852</v>
      </c>
      <c r="C24" s="134">
        <v>20987</v>
      </c>
      <c r="D24" s="135">
        <v>0.189</v>
      </c>
      <c r="E24" s="136">
        <v>1</v>
      </c>
      <c r="F24" s="137">
        <v>51.22</v>
      </c>
      <c r="G24" s="142">
        <v>0</v>
      </c>
      <c r="H24" s="137">
        <v>51.22</v>
      </c>
      <c r="I24" s="141">
        <f t="shared" si="0"/>
        <v>9.68</v>
      </c>
    </row>
    <row r="25" spans="1:9" ht="30">
      <c r="A25" s="132" t="s">
        <v>853</v>
      </c>
      <c r="B25" s="134" t="s">
        <v>38</v>
      </c>
      <c r="C25" s="134">
        <v>21009</v>
      </c>
      <c r="D25" s="135">
        <v>1.1299999999999999</v>
      </c>
      <c r="E25" s="136">
        <v>1</v>
      </c>
      <c r="F25" s="166">
        <v>9.85</v>
      </c>
      <c r="G25" s="167">
        <v>0</v>
      </c>
      <c r="H25" s="166">
        <v>9.85</v>
      </c>
      <c r="I25" s="141">
        <f t="shared" si="0"/>
        <v>11.13</v>
      </c>
    </row>
    <row r="26" spans="1:9">
      <c r="A26" s="177" t="s">
        <v>859</v>
      </c>
      <c r="B26" s="170" t="s">
        <v>860</v>
      </c>
      <c r="C26" s="170">
        <v>27010</v>
      </c>
      <c r="D26" s="171">
        <v>0.02</v>
      </c>
      <c r="E26" s="178">
        <v>1</v>
      </c>
      <c r="F26" s="180">
        <v>12.38</v>
      </c>
      <c r="G26" s="178">
        <v>0</v>
      </c>
      <c r="H26" s="181">
        <v>12.38</v>
      </c>
      <c r="I26" s="171">
        <f t="shared" si="0"/>
        <v>0.25</v>
      </c>
    </row>
    <row r="27" spans="1:9" ht="30">
      <c r="A27" s="177" t="s">
        <v>861</v>
      </c>
      <c r="B27" s="170" t="s">
        <v>852</v>
      </c>
      <c r="C27" s="170">
        <v>21543</v>
      </c>
      <c r="D27" s="171">
        <v>2.16</v>
      </c>
      <c r="E27" s="178">
        <v>1</v>
      </c>
      <c r="F27" s="180">
        <v>7.89</v>
      </c>
      <c r="G27" s="178">
        <v>0</v>
      </c>
      <c r="H27" s="181">
        <v>17.8</v>
      </c>
      <c r="I27" s="171">
        <f t="shared" ref="I27" si="2">D27*F27</f>
        <v>17.04</v>
      </c>
    </row>
    <row r="28" spans="1:9" ht="30">
      <c r="A28" s="177" t="s">
        <v>854</v>
      </c>
      <c r="B28" s="170" t="s">
        <v>39</v>
      </c>
      <c r="C28" s="170">
        <v>21517</v>
      </c>
      <c r="D28" s="178">
        <v>4.74</v>
      </c>
      <c r="E28" s="178">
        <v>1</v>
      </c>
      <c r="F28" s="182">
        <v>6.8</v>
      </c>
      <c r="G28" s="183">
        <v>0</v>
      </c>
      <c r="H28" s="182">
        <v>6.8</v>
      </c>
      <c r="I28" s="171">
        <f t="shared" si="0"/>
        <v>32.229999999999997</v>
      </c>
    </row>
    <row r="29" spans="1:9" ht="60">
      <c r="A29" s="177" t="s">
        <v>855</v>
      </c>
      <c r="B29" s="170" t="s">
        <v>852</v>
      </c>
      <c r="C29" s="170" t="s">
        <v>856</v>
      </c>
      <c r="D29" s="171">
        <v>1</v>
      </c>
      <c r="E29" s="178">
        <v>1</v>
      </c>
      <c r="F29" s="178">
        <v>70.97</v>
      </c>
      <c r="G29" s="178">
        <v>0</v>
      </c>
      <c r="H29" s="178">
        <v>70.97</v>
      </c>
      <c r="I29" s="171">
        <f t="shared" ref="I29" si="3">D29*F29</f>
        <v>70.97</v>
      </c>
    </row>
    <row r="30" spans="1:9">
      <c r="A30" s="551" t="s">
        <v>21</v>
      </c>
      <c r="B30" s="552"/>
      <c r="C30" s="552"/>
      <c r="D30" s="552"/>
      <c r="E30" s="552"/>
      <c r="F30" s="552"/>
      <c r="G30" s="552"/>
      <c r="H30" s="553"/>
      <c r="I30" s="16">
        <f>SUM(I19:I29)</f>
        <v>175.48</v>
      </c>
    </row>
    <row r="31" spans="1:9">
      <c r="A31" s="550"/>
      <c r="B31" s="550"/>
      <c r="C31" s="550"/>
      <c r="D31" s="550"/>
      <c r="E31" s="550"/>
      <c r="F31" s="550"/>
      <c r="G31" s="550"/>
      <c r="H31" s="550"/>
      <c r="I31" s="550"/>
    </row>
    <row r="32" spans="1:9">
      <c r="A32" s="541" t="s">
        <v>22</v>
      </c>
      <c r="B32" s="541"/>
      <c r="C32" s="541"/>
      <c r="D32" s="541"/>
      <c r="E32" s="541"/>
    </row>
    <row r="33" spans="1:9">
      <c r="A33" s="554" t="s">
        <v>23</v>
      </c>
      <c r="B33" s="555"/>
      <c r="C33" s="556"/>
      <c r="D33" s="9" t="s">
        <v>24</v>
      </c>
      <c r="E33" s="9" t="s">
        <v>25</v>
      </c>
    </row>
    <row r="34" spans="1:9">
      <c r="A34" s="542" t="s">
        <v>26</v>
      </c>
      <c r="B34" s="543"/>
      <c r="C34" s="544"/>
      <c r="D34" s="545">
        <v>157.27000000000001</v>
      </c>
      <c r="E34" s="17">
        <f>I16</f>
        <v>60.04</v>
      </c>
    </row>
    <row r="35" spans="1:9">
      <c r="A35" s="542" t="s">
        <v>27</v>
      </c>
      <c r="B35" s="543"/>
      <c r="C35" s="544"/>
      <c r="D35" s="557"/>
      <c r="E35" s="17">
        <f>I30</f>
        <v>175.48</v>
      </c>
    </row>
    <row r="36" spans="1:9">
      <c r="A36" s="542" t="s">
        <v>28</v>
      </c>
      <c r="B36" s="543"/>
      <c r="C36" s="544"/>
      <c r="D36" s="557"/>
      <c r="E36" s="13">
        <v>0</v>
      </c>
    </row>
    <row r="37" spans="1:9">
      <c r="A37" s="542" t="s">
        <v>29</v>
      </c>
      <c r="B37" s="543"/>
      <c r="C37" s="544"/>
      <c r="D37" s="557"/>
      <c r="E37" s="13">
        <v>1</v>
      </c>
    </row>
    <row r="38" spans="1:9">
      <c r="A38" s="542" t="s">
        <v>30</v>
      </c>
      <c r="B38" s="543"/>
      <c r="C38" s="544"/>
      <c r="D38" s="557"/>
      <c r="E38" s="17">
        <f>I16+E36</f>
        <v>60.04</v>
      </c>
    </row>
    <row r="39" spans="1:9">
      <c r="A39" s="542" t="s">
        <v>31</v>
      </c>
      <c r="B39" s="543"/>
      <c r="C39" s="544"/>
      <c r="D39" s="557"/>
      <c r="E39" s="17">
        <f>(E34/E37)+(E36/E37)</f>
        <v>60.04</v>
      </c>
    </row>
    <row r="40" spans="1:9">
      <c r="A40" s="542" t="s">
        <v>32</v>
      </c>
      <c r="B40" s="543"/>
      <c r="C40" s="544"/>
      <c r="D40" s="546"/>
      <c r="E40" s="17">
        <f>E35+E39</f>
        <v>235.52</v>
      </c>
    </row>
    <row r="41" spans="1:9">
      <c r="A41" s="542" t="s">
        <v>33</v>
      </c>
      <c r="B41" s="543"/>
      <c r="C41" s="544"/>
      <c r="D41" s="545">
        <v>0</v>
      </c>
      <c r="E41" s="17">
        <v>0</v>
      </c>
    </row>
    <row r="42" spans="1:9">
      <c r="A42" s="547" t="s">
        <v>34</v>
      </c>
      <c r="B42" s="548"/>
      <c r="C42" s="549"/>
      <c r="D42" s="546"/>
      <c r="E42" s="16">
        <f>E40+E41</f>
        <v>235.52</v>
      </c>
    </row>
    <row r="43" spans="1:9">
      <c r="A43" s="540"/>
      <c r="B43" s="540"/>
      <c r="C43" s="540"/>
      <c r="D43" s="540"/>
      <c r="E43" s="540"/>
      <c r="F43" s="540"/>
      <c r="G43" s="540"/>
      <c r="H43" s="540"/>
      <c r="I43" s="540"/>
    </row>
    <row r="44" spans="1:9">
      <c r="A44" s="540"/>
      <c r="B44" s="540"/>
      <c r="C44" s="540"/>
      <c r="D44" s="540"/>
      <c r="E44" s="540"/>
      <c r="F44" s="540"/>
      <c r="G44" s="540"/>
      <c r="H44" s="540"/>
      <c r="I44" s="540"/>
    </row>
    <row r="45" spans="1:9">
      <c r="A45" s="541"/>
      <c r="B45" s="541"/>
      <c r="C45" s="541"/>
      <c r="D45" s="541"/>
      <c r="E45" s="541"/>
      <c r="F45" s="541"/>
      <c r="G45" s="541"/>
      <c r="H45" s="541"/>
      <c r="I45" s="541"/>
    </row>
  </sheetData>
  <mergeCells count="32">
    <mergeCell ref="A16:H16"/>
    <mergeCell ref="A1:I4"/>
    <mergeCell ref="A5:I5"/>
    <mergeCell ref="A6:F6"/>
    <mergeCell ref="G6:I6"/>
    <mergeCell ref="A7:I7"/>
    <mergeCell ref="A8:G8"/>
    <mergeCell ref="H8:I8"/>
    <mergeCell ref="A9:B9"/>
    <mergeCell ref="C9:D9"/>
    <mergeCell ref="E9:G9"/>
    <mergeCell ref="H9:I9"/>
    <mergeCell ref="A10:I10"/>
    <mergeCell ref="A34:C34"/>
    <mergeCell ref="D34:D40"/>
    <mergeCell ref="A35:C35"/>
    <mergeCell ref="A36:C36"/>
    <mergeCell ref="A37:C37"/>
    <mergeCell ref="A17:I17"/>
    <mergeCell ref="A30:H30"/>
    <mergeCell ref="A31:I31"/>
    <mergeCell ref="A32:E32"/>
    <mergeCell ref="A33:C33"/>
    <mergeCell ref="A43:I43"/>
    <mergeCell ref="A44:I44"/>
    <mergeCell ref="A45:I45"/>
    <mergeCell ref="A38:C38"/>
    <mergeCell ref="A39:C39"/>
    <mergeCell ref="A40:C40"/>
    <mergeCell ref="A41:C41"/>
    <mergeCell ref="D41:D42"/>
    <mergeCell ref="A42:C42"/>
  </mergeCells>
  <phoneticPr fontId="78" type="noConversion"/>
  <pageMargins left="0.511811024" right="0.511811024" top="0.78740157499999996" bottom="0.78740157499999996" header="0.31496062000000002" footer="0.31496062000000002"/>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9"/>
  <sheetViews>
    <sheetView topLeftCell="A22" workbookViewId="0">
      <selection activeCell="O16" sqref="O16"/>
    </sheetView>
  </sheetViews>
  <sheetFormatPr defaultRowHeight="15"/>
  <cols>
    <col min="1" max="1" width="31.85546875" customWidth="1"/>
    <col min="5" max="5" width="9.28515625" customWidth="1"/>
  </cols>
  <sheetData>
    <row r="1" spans="1:9">
      <c r="A1" s="559" t="s">
        <v>842</v>
      </c>
      <c r="B1" s="559"/>
      <c r="C1" s="559"/>
      <c r="D1" s="559"/>
      <c r="E1" s="559"/>
      <c r="F1" s="559"/>
      <c r="G1" s="559"/>
      <c r="H1" s="559"/>
      <c r="I1" s="559"/>
    </row>
    <row r="2" spans="1:9">
      <c r="A2" s="559"/>
      <c r="B2" s="559"/>
      <c r="C2" s="559"/>
      <c r="D2" s="559"/>
      <c r="E2" s="559"/>
      <c r="F2" s="559"/>
      <c r="G2" s="559"/>
      <c r="H2" s="559"/>
      <c r="I2" s="559"/>
    </row>
    <row r="3" spans="1:9">
      <c r="A3" s="559"/>
      <c r="B3" s="559"/>
      <c r="C3" s="559"/>
      <c r="D3" s="559"/>
      <c r="E3" s="559"/>
      <c r="F3" s="559"/>
      <c r="G3" s="559"/>
      <c r="H3" s="559"/>
      <c r="I3" s="559"/>
    </row>
    <row r="4" spans="1:9">
      <c r="A4" s="559"/>
      <c r="B4" s="559"/>
      <c r="C4" s="559"/>
      <c r="D4" s="559"/>
      <c r="E4" s="559"/>
      <c r="F4" s="559"/>
      <c r="G4" s="559"/>
      <c r="H4" s="559"/>
      <c r="I4" s="559"/>
    </row>
    <row r="5" spans="1:9">
      <c r="A5" s="540"/>
      <c r="B5" s="540"/>
      <c r="C5" s="540"/>
      <c r="D5" s="540"/>
      <c r="E5" s="540"/>
      <c r="F5" s="540"/>
      <c r="G5" s="540"/>
      <c r="H5" s="540"/>
      <c r="I5" s="540"/>
    </row>
    <row r="6" spans="1:9">
      <c r="A6" s="541"/>
      <c r="B6" s="541"/>
      <c r="C6" s="541"/>
      <c r="D6" s="541"/>
      <c r="E6" s="541"/>
      <c r="F6" s="541"/>
      <c r="G6" s="541" t="s">
        <v>839</v>
      </c>
      <c r="H6" s="541"/>
      <c r="I6" s="541"/>
    </row>
    <row r="7" spans="1:9">
      <c r="A7" s="540"/>
      <c r="B7" s="540"/>
      <c r="C7" s="540"/>
      <c r="D7" s="540"/>
      <c r="E7" s="540"/>
      <c r="F7" s="540"/>
      <c r="G7" s="540"/>
      <c r="H7" s="540"/>
      <c r="I7" s="540"/>
    </row>
    <row r="8" spans="1:9" ht="30.75" customHeight="1">
      <c r="A8" s="560" t="s">
        <v>115</v>
      </c>
      <c r="B8" s="560"/>
      <c r="C8" s="560"/>
      <c r="D8" s="560"/>
      <c r="E8" s="560"/>
      <c r="F8" s="560"/>
      <c r="G8" s="560"/>
      <c r="H8" s="561" t="s">
        <v>109</v>
      </c>
      <c r="I8" s="561"/>
    </row>
    <row r="9" spans="1:9">
      <c r="A9" s="541"/>
      <c r="B9" s="541"/>
      <c r="C9" s="541"/>
      <c r="D9" s="541"/>
      <c r="E9" s="541"/>
      <c r="F9" s="541"/>
      <c r="G9" s="541"/>
      <c r="H9" s="541"/>
      <c r="I9" s="541"/>
    </row>
    <row r="10" spans="1:9">
      <c r="A10" s="540"/>
      <c r="B10" s="540"/>
      <c r="C10" s="540"/>
      <c r="D10" s="540"/>
      <c r="E10" s="540"/>
      <c r="F10" s="540"/>
      <c r="G10" s="540"/>
      <c r="H10" s="540"/>
      <c r="I10" s="540"/>
    </row>
    <row r="11" spans="1:9" ht="30">
      <c r="A11" s="7" t="s">
        <v>11</v>
      </c>
      <c r="B11" s="8" t="s">
        <v>12</v>
      </c>
      <c r="C11" s="8" t="s">
        <v>13</v>
      </c>
      <c r="D11" s="9" t="s">
        <v>14</v>
      </c>
      <c r="E11" s="9" t="s">
        <v>15</v>
      </c>
      <c r="F11" s="18" t="s">
        <v>16</v>
      </c>
      <c r="G11" s="9" t="s">
        <v>17</v>
      </c>
      <c r="H11" s="9" t="s">
        <v>18</v>
      </c>
      <c r="I11" s="9" t="s">
        <v>19</v>
      </c>
    </row>
    <row r="12" spans="1:9" ht="30">
      <c r="A12" s="10" t="s">
        <v>834</v>
      </c>
      <c r="B12" s="134" t="s">
        <v>20</v>
      </c>
      <c r="C12" s="134">
        <v>10101</v>
      </c>
      <c r="D12" s="135">
        <v>6.52</v>
      </c>
      <c r="E12" s="136">
        <v>1</v>
      </c>
      <c r="F12" s="137">
        <v>20.32</v>
      </c>
      <c r="G12" s="138">
        <v>0</v>
      </c>
      <c r="H12" s="133">
        <v>20.32</v>
      </c>
      <c r="I12" s="139">
        <f>D12*H12</f>
        <v>132.49</v>
      </c>
    </row>
    <row r="13" spans="1:9" ht="30">
      <c r="A13" s="10" t="s">
        <v>835</v>
      </c>
      <c r="B13" s="134" t="s">
        <v>20</v>
      </c>
      <c r="C13" s="134">
        <v>10115</v>
      </c>
      <c r="D13" s="135">
        <v>6.52</v>
      </c>
      <c r="E13" s="135">
        <v>1</v>
      </c>
      <c r="F13" s="133">
        <v>20.32</v>
      </c>
      <c r="G13" s="136">
        <v>0</v>
      </c>
      <c r="H13" s="140">
        <v>24.1</v>
      </c>
      <c r="I13" s="141">
        <f>D13*H13</f>
        <v>157.13</v>
      </c>
    </row>
    <row r="14" spans="1:9">
      <c r="A14" s="551" t="s">
        <v>21</v>
      </c>
      <c r="B14" s="552"/>
      <c r="C14" s="552"/>
      <c r="D14" s="552"/>
      <c r="E14" s="552"/>
      <c r="F14" s="552"/>
      <c r="G14" s="552"/>
      <c r="H14" s="558"/>
      <c r="I14" s="16">
        <f>SUM(I12:I13)</f>
        <v>289.62</v>
      </c>
    </row>
    <row r="15" spans="1:9">
      <c r="A15" s="550"/>
      <c r="B15" s="550"/>
      <c r="C15" s="550"/>
      <c r="D15" s="550"/>
      <c r="E15" s="550"/>
      <c r="F15" s="550"/>
      <c r="G15" s="550"/>
      <c r="H15" s="550"/>
      <c r="I15" s="550"/>
    </row>
    <row r="16" spans="1:9" ht="30">
      <c r="A16" s="7" t="s">
        <v>37</v>
      </c>
      <c r="B16" s="8" t="s">
        <v>12</v>
      </c>
      <c r="C16" s="8" t="s">
        <v>13</v>
      </c>
      <c r="D16" s="9" t="s">
        <v>14</v>
      </c>
      <c r="E16" s="9" t="s">
        <v>15</v>
      </c>
      <c r="F16" s="18" t="s">
        <v>16</v>
      </c>
      <c r="G16" s="18" t="s">
        <v>17</v>
      </c>
      <c r="H16" s="18" t="s">
        <v>18</v>
      </c>
      <c r="I16" s="9" t="s">
        <v>19</v>
      </c>
    </row>
    <row r="17" spans="1:9">
      <c r="A17" s="10" t="s">
        <v>113</v>
      </c>
      <c r="B17" s="134" t="s">
        <v>44</v>
      </c>
      <c r="C17" s="134">
        <v>41588</v>
      </c>
      <c r="D17" s="135">
        <v>1</v>
      </c>
      <c r="E17" s="136">
        <v>1</v>
      </c>
      <c r="F17" s="137">
        <v>4.59</v>
      </c>
      <c r="G17" s="142">
        <v>0</v>
      </c>
      <c r="H17" s="137">
        <v>4.59</v>
      </c>
      <c r="I17" s="141">
        <f>D17*F17</f>
        <v>4.59</v>
      </c>
    </row>
    <row r="18" spans="1:9" ht="30">
      <c r="A18" s="10" t="s">
        <v>833</v>
      </c>
      <c r="B18" s="134" t="s">
        <v>38</v>
      </c>
      <c r="C18" s="134">
        <v>42502</v>
      </c>
      <c r="D18" s="135">
        <v>7.7220000000000004</v>
      </c>
      <c r="E18" s="136">
        <v>1</v>
      </c>
      <c r="F18" s="140">
        <v>4.0999999999999996</v>
      </c>
      <c r="G18" s="142">
        <v>0</v>
      </c>
      <c r="H18" s="140">
        <v>4.0999999999999996</v>
      </c>
      <c r="I18" s="141">
        <f t="shared" ref="I18:I22" si="0">D18*F18</f>
        <v>31.66</v>
      </c>
    </row>
    <row r="19" spans="1:9">
      <c r="A19" t="s">
        <v>114</v>
      </c>
      <c r="B19" s="134" t="s">
        <v>38</v>
      </c>
      <c r="C19" s="4">
        <v>43127</v>
      </c>
      <c r="D19" s="139">
        <v>10</v>
      </c>
      <c r="E19" s="136">
        <v>1</v>
      </c>
      <c r="F19" s="137">
        <v>3.18</v>
      </c>
      <c r="G19" s="142">
        <v>0</v>
      </c>
      <c r="H19" s="137">
        <v>3.18</v>
      </c>
      <c r="I19" s="141">
        <f t="shared" si="0"/>
        <v>31.8</v>
      </c>
    </row>
    <row r="20" spans="1:9" ht="30">
      <c r="A20" s="10" t="s">
        <v>836</v>
      </c>
      <c r="B20" s="134" t="s">
        <v>44</v>
      </c>
      <c r="C20" s="134">
        <v>45104</v>
      </c>
      <c r="D20" s="135">
        <v>1</v>
      </c>
      <c r="E20" s="136">
        <v>1</v>
      </c>
      <c r="F20" s="137">
        <v>2.2799999999999998</v>
      </c>
      <c r="G20" s="142">
        <v>0</v>
      </c>
      <c r="H20" s="137">
        <v>2.2799999999999998</v>
      </c>
      <c r="I20" s="141">
        <f t="shared" si="0"/>
        <v>2.2799999999999998</v>
      </c>
    </row>
    <row r="21" spans="1:9" ht="30">
      <c r="A21" s="14" t="s">
        <v>838</v>
      </c>
      <c r="B21" s="134" t="s">
        <v>44</v>
      </c>
      <c r="C21" s="134">
        <v>45526</v>
      </c>
      <c r="D21" s="135">
        <v>1</v>
      </c>
      <c r="E21" s="136">
        <v>1</v>
      </c>
      <c r="F21" s="137">
        <v>16.260000000000002</v>
      </c>
      <c r="G21" s="143">
        <v>0</v>
      </c>
      <c r="H21" s="137">
        <v>16.260000000000002</v>
      </c>
      <c r="I21" s="141">
        <f t="shared" si="0"/>
        <v>16.260000000000002</v>
      </c>
    </row>
    <row r="22" spans="1:9" ht="30">
      <c r="A22" s="10" t="s">
        <v>837</v>
      </c>
      <c r="B22" s="134" t="s">
        <v>44</v>
      </c>
      <c r="C22" s="134">
        <v>51008</v>
      </c>
      <c r="D22" s="135">
        <v>1</v>
      </c>
      <c r="E22" s="135">
        <v>1</v>
      </c>
      <c r="F22" s="133">
        <v>12.41</v>
      </c>
      <c r="G22" s="135">
        <v>0</v>
      </c>
      <c r="H22" s="133">
        <v>12.41</v>
      </c>
      <c r="I22" s="139">
        <f t="shared" si="0"/>
        <v>12.41</v>
      </c>
    </row>
    <row r="23" spans="1:9">
      <c r="A23" s="551" t="s">
        <v>21</v>
      </c>
      <c r="B23" s="552"/>
      <c r="C23" s="552"/>
      <c r="D23" s="552"/>
      <c r="E23" s="552"/>
      <c r="F23" s="552"/>
      <c r="G23" s="552"/>
      <c r="H23" s="553"/>
      <c r="I23" s="16">
        <f>SUM(I17:I22)</f>
        <v>99</v>
      </c>
    </row>
    <row r="24" spans="1:9">
      <c r="A24" s="550"/>
      <c r="B24" s="550"/>
      <c r="C24" s="550"/>
      <c r="D24" s="550"/>
      <c r="E24" s="550"/>
      <c r="F24" s="550"/>
      <c r="G24" s="550"/>
      <c r="H24" s="550"/>
      <c r="I24" s="550"/>
    </row>
    <row r="25" spans="1:9">
      <c r="A25" s="541" t="s">
        <v>22</v>
      </c>
      <c r="B25" s="541"/>
      <c r="C25" s="541"/>
      <c r="D25" s="541"/>
      <c r="E25" s="541"/>
      <c r="F25" s="6"/>
      <c r="G25" s="6"/>
      <c r="H25" s="6"/>
      <c r="I25" s="6"/>
    </row>
    <row r="26" spans="1:9">
      <c r="A26" s="554" t="s">
        <v>23</v>
      </c>
      <c r="B26" s="555"/>
      <c r="C26" s="556"/>
      <c r="D26" s="9" t="s">
        <v>24</v>
      </c>
      <c r="E26" s="9" t="s">
        <v>25</v>
      </c>
      <c r="F26" s="6"/>
      <c r="G26" s="6"/>
      <c r="H26" s="6"/>
      <c r="I26" s="6"/>
    </row>
    <row r="27" spans="1:9">
      <c r="A27" s="542" t="s">
        <v>26</v>
      </c>
      <c r="B27" s="543"/>
      <c r="C27" s="544"/>
      <c r="D27" s="545">
        <v>157.27000000000001</v>
      </c>
      <c r="E27" s="17">
        <f>I14</f>
        <v>289.62</v>
      </c>
      <c r="F27" s="6"/>
      <c r="G27" s="6"/>
      <c r="H27" s="6"/>
      <c r="I27" s="6"/>
    </row>
    <row r="28" spans="1:9">
      <c r="A28" s="542" t="s">
        <v>27</v>
      </c>
      <c r="B28" s="543"/>
      <c r="C28" s="544"/>
      <c r="D28" s="557"/>
      <c r="E28" s="17">
        <f>I23</f>
        <v>99</v>
      </c>
      <c r="F28" s="6"/>
      <c r="G28" s="6"/>
      <c r="H28" s="6"/>
      <c r="I28" s="6"/>
    </row>
    <row r="29" spans="1:9">
      <c r="A29" s="542" t="s">
        <v>28</v>
      </c>
      <c r="B29" s="543"/>
      <c r="C29" s="544"/>
      <c r="D29" s="557"/>
      <c r="E29" s="13">
        <v>0</v>
      </c>
      <c r="F29" s="6"/>
      <c r="G29" s="6"/>
      <c r="H29" s="6"/>
      <c r="I29" s="6"/>
    </row>
    <row r="30" spans="1:9">
      <c r="A30" s="542" t="s">
        <v>29</v>
      </c>
      <c r="B30" s="543"/>
      <c r="C30" s="544"/>
      <c r="D30" s="557"/>
      <c r="E30" s="13">
        <v>1</v>
      </c>
      <c r="F30" s="6"/>
      <c r="G30" s="6"/>
      <c r="H30" s="6"/>
      <c r="I30" s="6"/>
    </row>
    <row r="31" spans="1:9">
      <c r="A31" s="542" t="s">
        <v>30</v>
      </c>
      <c r="B31" s="543"/>
      <c r="C31" s="544"/>
      <c r="D31" s="557"/>
      <c r="E31" s="17">
        <f>I14+E29</f>
        <v>289.62</v>
      </c>
      <c r="F31" s="6"/>
      <c r="G31" s="6"/>
      <c r="H31" s="6"/>
      <c r="I31" s="6"/>
    </row>
    <row r="32" spans="1:9">
      <c r="A32" s="542" t="s">
        <v>31</v>
      </c>
      <c r="B32" s="543"/>
      <c r="C32" s="544"/>
      <c r="D32" s="557"/>
      <c r="E32" s="17">
        <f>(E27/E30)+(E29/E30)</f>
        <v>289.62</v>
      </c>
      <c r="F32" s="6"/>
      <c r="G32" s="6"/>
      <c r="H32" s="6"/>
      <c r="I32" s="6"/>
    </row>
    <row r="33" spans="1:9">
      <c r="A33" s="542" t="s">
        <v>32</v>
      </c>
      <c r="B33" s="543"/>
      <c r="C33" s="544"/>
      <c r="D33" s="546"/>
      <c r="E33" s="17">
        <f>E28+E32</f>
        <v>388.62</v>
      </c>
      <c r="F33" s="6"/>
      <c r="G33" s="6"/>
      <c r="H33" s="6"/>
      <c r="I33" s="6"/>
    </row>
    <row r="34" spans="1:9">
      <c r="A34" s="542" t="s">
        <v>33</v>
      </c>
      <c r="B34" s="543"/>
      <c r="C34" s="544"/>
      <c r="D34" s="545">
        <v>0</v>
      </c>
      <c r="E34" s="17">
        <v>0</v>
      </c>
      <c r="F34" s="6"/>
      <c r="G34" s="6"/>
      <c r="H34" s="6"/>
      <c r="I34" s="6"/>
    </row>
    <row r="35" spans="1:9">
      <c r="A35" s="547" t="s">
        <v>34</v>
      </c>
      <c r="B35" s="548"/>
      <c r="C35" s="549"/>
      <c r="D35" s="546"/>
      <c r="E35" s="16">
        <f>E33+E34</f>
        <v>388.62</v>
      </c>
      <c r="F35" s="6"/>
      <c r="G35" s="6"/>
      <c r="H35" s="6"/>
      <c r="I35" s="6"/>
    </row>
    <row r="36" spans="1:9">
      <c r="A36" s="540"/>
      <c r="B36" s="540"/>
      <c r="C36" s="540"/>
      <c r="D36" s="540"/>
      <c r="E36" s="540"/>
      <c r="F36" s="540"/>
      <c r="G36" s="540"/>
      <c r="H36" s="540"/>
      <c r="I36" s="540"/>
    </row>
    <row r="37" spans="1:9">
      <c r="A37" s="540"/>
      <c r="B37" s="540"/>
      <c r="C37" s="540"/>
      <c r="D37" s="540"/>
      <c r="E37" s="540"/>
      <c r="F37" s="540"/>
      <c r="G37" s="540"/>
      <c r="H37" s="540"/>
      <c r="I37" s="540"/>
    </row>
    <row r="38" spans="1:9">
      <c r="A38" s="541"/>
      <c r="B38" s="541"/>
      <c r="C38" s="541"/>
      <c r="D38" s="541"/>
      <c r="E38" s="541"/>
      <c r="F38" s="541"/>
      <c r="G38" s="541"/>
      <c r="H38" s="541"/>
      <c r="I38" s="541"/>
    </row>
    <row r="39" spans="1:9">
      <c r="A39" s="6"/>
      <c r="B39" s="6"/>
      <c r="C39" s="6"/>
      <c r="D39" s="6"/>
      <c r="E39" s="6"/>
      <c r="F39" s="6"/>
      <c r="G39" s="6"/>
      <c r="H39" s="6"/>
      <c r="I39" s="6"/>
    </row>
  </sheetData>
  <mergeCells count="32">
    <mergeCell ref="A24:I24"/>
    <mergeCell ref="A38:I38"/>
    <mergeCell ref="A26:C26"/>
    <mergeCell ref="A27:C27"/>
    <mergeCell ref="D27:D33"/>
    <mergeCell ref="A28:C28"/>
    <mergeCell ref="A29:C29"/>
    <mergeCell ref="A30:C30"/>
    <mergeCell ref="A31:C31"/>
    <mergeCell ref="A32:C32"/>
    <mergeCell ref="A33:C33"/>
    <mergeCell ref="A34:C34"/>
    <mergeCell ref="D34:D35"/>
    <mergeCell ref="A35:C35"/>
    <mergeCell ref="A36:I36"/>
    <mergeCell ref="A37:I37"/>
    <mergeCell ref="A5:I5"/>
    <mergeCell ref="A6:F6"/>
    <mergeCell ref="G6:I6"/>
    <mergeCell ref="A1:I4"/>
    <mergeCell ref="A25:E25"/>
    <mergeCell ref="A7:I7"/>
    <mergeCell ref="A8:G8"/>
    <mergeCell ref="H8:I8"/>
    <mergeCell ref="A9:B9"/>
    <mergeCell ref="C9:D9"/>
    <mergeCell ref="E9:G9"/>
    <mergeCell ref="H9:I9"/>
    <mergeCell ref="A10:I10"/>
    <mergeCell ref="A14:H14"/>
    <mergeCell ref="A15:I15"/>
    <mergeCell ref="A23:H23"/>
  </mergeCells>
  <pageMargins left="0.51181102362204722" right="0.51181102362204722" top="0.78740157480314965" bottom="0.78740157480314965" header="0.31496062992125984" footer="0.31496062992125984"/>
  <pageSetup paperSize="9" scale="8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7"/>
  <sheetViews>
    <sheetView topLeftCell="A13" workbookViewId="0">
      <selection activeCell="L19" sqref="L19"/>
    </sheetView>
  </sheetViews>
  <sheetFormatPr defaultRowHeight="15"/>
  <cols>
    <col min="1" max="1" width="29.28515625" customWidth="1"/>
    <col min="5" max="5" width="9.5703125" bestFit="1" customWidth="1"/>
    <col min="9" max="9" width="9.5703125" bestFit="1" customWidth="1"/>
  </cols>
  <sheetData>
    <row r="1" spans="1:9" s="6" customFormat="1">
      <c r="A1" s="559" t="s">
        <v>863</v>
      </c>
      <c r="B1" s="559"/>
      <c r="C1" s="559"/>
      <c r="D1" s="559"/>
      <c r="E1" s="559"/>
      <c r="F1" s="559"/>
      <c r="G1" s="559"/>
      <c r="H1" s="559"/>
      <c r="I1" s="559"/>
    </row>
    <row r="2" spans="1:9" s="6" customFormat="1">
      <c r="A2" s="559"/>
      <c r="B2" s="559"/>
      <c r="C2" s="559"/>
      <c r="D2" s="559"/>
      <c r="E2" s="559"/>
      <c r="F2" s="559"/>
      <c r="G2" s="559"/>
      <c r="H2" s="559"/>
      <c r="I2" s="559"/>
    </row>
    <row r="3" spans="1:9" s="6" customFormat="1">
      <c r="A3" s="559"/>
      <c r="B3" s="559"/>
      <c r="C3" s="559"/>
      <c r="D3" s="559"/>
      <c r="E3" s="559"/>
      <c r="F3" s="559"/>
      <c r="G3" s="559"/>
      <c r="H3" s="559"/>
      <c r="I3" s="559"/>
    </row>
    <row r="4" spans="1:9" s="6" customFormat="1">
      <c r="A4" s="559"/>
      <c r="B4" s="559"/>
      <c r="C4" s="559"/>
      <c r="D4" s="559"/>
      <c r="E4" s="559"/>
      <c r="F4" s="559"/>
      <c r="G4" s="559"/>
      <c r="H4" s="559"/>
      <c r="I4" s="559"/>
    </row>
    <row r="5" spans="1:9">
      <c r="A5" s="540"/>
      <c r="B5" s="540"/>
      <c r="C5" s="540"/>
      <c r="D5" s="540"/>
      <c r="E5" s="540"/>
      <c r="F5" s="540"/>
      <c r="G5" s="540"/>
      <c r="H5" s="540"/>
      <c r="I5" s="540"/>
    </row>
    <row r="6" spans="1:9">
      <c r="A6" s="541"/>
      <c r="B6" s="541"/>
      <c r="C6" s="541"/>
      <c r="D6" s="541"/>
      <c r="E6" s="541"/>
      <c r="F6" s="541"/>
      <c r="G6" s="541" t="s">
        <v>839</v>
      </c>
      <c r="H6" s="541"/>
      <c r="I6" s="541"/>
    </row>
    <row r="7" spans="1:9">
      <c r="A7" s="540"/>
      <c r="B7" s="540"/>
      <c r="C7" s="540"/>
      <c r="D7" s="540"/>
      <c r="E7" s="540"/>
      <c r="F7" s="540"/>
      <c r="G7" s="540"/>
      <c r="H7" s="540"/>
      <c r="I7" s="540"/>
    </row>
    <row r="8" spans="1:9">
      <c r="A8" s="541" t="s">
        <v>121</v>
      </c>
      <c r="B8" s="541"/>
      <c r="C8" s="541"/>
      <c r="D8" s="541"/>
      <c r="E8" s="541"/>
      <c r="F8" s="541"/>
      <c r="G8" s="541"/>
      <c r="H8" s="541" t="s">
        <v>119</v>
      </c>
      <c r="I8" s="541"/>
    </row>
    <row r="9" spans="1:9">
      <c r="A9" s="541" t="s">
        <v>110</v>
      </c>
      <c r="B9" s="541"/>
      <c r="C9" s="541" t="s">
        <v>120</v>
      </c>
      <c r="D9" s="541"/>
      <c r="E9" s="541" t="s">
        <v>9</v>
      </c>
      <c r="F9" s="541"/>
      <c r="G9" s="541"/>
      <c r="H9" s="541" t="s">
        <v>10</v>
      </c>
      <c r="I9" s="541"/>
    </row>
    <row r="10" spans="1:9">
      <c r="A10" s="540"/>
      <c r="B10" s="540"/>
      <c r="C10" s="540"/>
      <c r="D10" s="540"/>
      <c r="E10" s="540"/>
      <c r="F10" s="540"/>
      <c r="G10" s="540"/>
      <c r="H10" s="540"/>
      <c r="I10" s="540"/>
    </row>
    <row r="11" spans="1:9" ht="30">
      <c r="A11" s="7" t="s">
        <v>11</v>
      </c>
      <c r="B11" s="8" t="s">
        <v>12</v>
      </c>
      <c r="C11" s="8" t="s">
        <v>13</v>
      </c>
      <c r="D11" s="9" t="s">
        <v>14</v>
      </c>
      <c r="E11" s="9" t="s">
        <v>15</v>
      </c>
      <c r="F11" s="9" t="s">
        <v>16</v>
      </c>
      <c r="G11" s="9" t="s">
        <v>17</v>
      </c>
      <c r="H11" s="9" t="s">
        <v>18</v>
      </c>
      <c r="I11" s="9" t="s">
        <v>19</v>
      </c>
    </row>
    <row r="12" spans="1:9">
      <c r="A12" s="10" t="s">
        <v>111</v>
      </c>
      <c r="B12" s="11" t="s">
        <v>20</v>
      </c>
      <c r="C12" s="11">
        <v>10101</v>
      </c>
      <c r="D12" s="12">
        <v>5.25</v>
      </c>
      <c r="E12" s="12">
        <v>1</v>
      </c>
      <c r="F12">
        <v>4.67</v>
      </c>
      <c r="G12" s="12">
        <v>0</v>
      </c>
      <c r="H12" s="12">
        <v>12.17</v>
      </c>
      <c r="I12" s="15">
        <f>D12*H12</f>
        <v>63.89</v>
      </c>
    </row>
    <row r="13" spans="1:9">
      <c r="A13" s="10" t="s">
        <v>112</v>
      </c>
      <c r="B13" s="11" t="s">
        <v>20</v>
      </c>
      <c r="C13" s="11">
        <v>10115</v>
      </c>
      <c r="D13" s="12">
        <v>5.25</v>
      </c>
      <c r="E13" s="12">
        <v>1</v>
      </c>
      <c r="F13" s="12">
        <v>5.54</v>
      </c>
      <c r="G13" s="12">
        <v>0</v>
      </c>
      <c r="H13" s="15">
        <v>14.4</v>
      </c>
      <c r="I13" s="15">
        <f>D13*H13</f>
        <v>75.599999999999994</v>
      </c>
    </row>
    <row r="14" spans="1:9">
      <c r="A14" s="551" t="s">
        <v>21</v>
      </c>
      <c r="B14" s="552"/>
      <c r="C14" s="552"/>
      <c r="D14" s="552"/>
      <c r="E14" s="552"/>
      <c r="F14" s="552"/>
      <c r="G14" s="552"/>
      <c r="H14" s="553"/>
      <c r="I14" s="16">
        <f>SUM(I12:I13)</f>
        <v>139.49</v>
      </c>
    </row>
    <row r="15" spans="1:9">
      <c r="A15" s="550"/>
      <c r="B15" s="550"/>
      <c r="C15" s="550"/>
      <c r="D15" s="550"/>
      <c r="E15" s="550"/>
      <c r="F15" s="550"/>
      <c r="G15" s="550"/>
      <c r="H15" s="550"/>
      <c r="I15" s="550"/>
    </row>
    <row r="16" spans="1:9" ht="30">
      <c r="A16" s="7" t="s">
        <v>37</v>
      </c>
      <c r="B16" s="8" t="s">
        <v>12</v>
      </c>
      <c r="C16" s="8" t="s">
        <v>13</v>
      </c>
      <c r="D16" s="9" t="s">
        <v>14</v>
      </c>
      <c r="E16" s="9" t="s">
        <v>15</v>
      </c>
      <c r="F16" s="9" t="s">
        <v>16</v>
      </c>
      <c r="G16" s="9" t="s">
        <v>17</v>
      </c>
      <c r="H16" s="9" t="s">
        <v>18</v>
      </c>
      <c r="I16" s="9" t="s">
        <v>19</v>
      </c>
    </row>
    <row r="17" spans="1:9" ht="30">
      <c r="A17" s="144" t="s">
        <v>833</v>
      </c>
      <c r="B17" s="134" t="s">
        <v>38</v>
      </c>
      <c r="C17" s="134">
        <v>42502</v>
      </c>
      <c r="D17" s="135">
        <v>19.8</v>
      </c>
      <c r="E17" s="136">
        <v>1</v>
      </c>
      <c r="F17" s="137">
        <v>2.15</v>
      </c>
      <c r="G17" s="145">
        <v>0</v>
      </c>
      <c r="H17" s="137">
        <v>2.15</v>
      </c>
      <c r="I17" s="135">
        <f t="shared" ref="I17:I20" si="0">H17*D17</f>
        <v>42.57</v>
      </c>
    </row>
    <row r="18" spans="1:9">
      <c r="A18" s="6" t="s">
        <v>114</v>
      </c>
      <c r="B18" s="134" t="s">
        <v>38</v>
      </c>
      <c r="C18" s="4">
        <v>43127</v>
      </c>
      <c r="D18" s="139">
        <v>21</v>
      </c>
      <c r="E18" s="136">
        <v>1</v>
      </c>
      <c r="F18" s="137">
        <v>3.18</v>
      </c>
      <c r="G18" s="142">
        <v>0</v>
      </c>
      <c r="H18" s="137">
        <v>3.18</v>
      </c>
      <c r="I18" s="141">
        <f t="shared" ref="I18:I19" si="1">D18*F18</f>
        <v>66.78</v>
      </c>
    </row>
    <row r="19" spans="1:9" ht="30">
      <c r="A19" s="10" t="s">
        <v>836</v>
      </c>
      <c r="B19" s="134" t="s">
        <v>44</v>
      </c>
      <c r="C19" s="134">
        <v>45104</v>
      </c>
      <c r="D19" s="135">
        <v>1</v>
      </c>
      <c r="E19" s="136">
        <v>1</v>
      </c>
      <c r="F19" s="137">
        <v>2.2799999999999998</v>
      </c>
      <c r="G19" s="142">
        <v>0</v>
      </c>
      <c r="H19" s="137">
        <v>2.2799999999999998</v>
      </c>
      <c r="I19" s="141">
        <f t="shared" si="1"/>
        <v>2.2799999999999998</v>
      </c>
    </row>
    <row r="20" spans="1:9" ht="30">
      <c r="A20" s="144" t="s">
        <v>840</v>
      </c>
      <c r="B20" s="134" t="s">
        <v>44</v>
      </c>
      <c r="C20" s="134">
        <v>51015</v>
      </c>
      <c r="D20" s="135">
        <v>1</v>
      </c>
      <c r="E20" s="136">
        <v>1</v>
      </c>
      <c r="F20" s="137">
        <v>59.99</v>
      </c>
      <c r="G20" s="145">
        <v>0</v>
      </c>
      <c r="H20" s="137">
        <v>59.99</v>
      </c>
      <c r="I20" s="135">
        <f t="shared" si="0"/>
        <v>59.99</v>
      </c>
    </row>
    <row r="21" spans="1:9">
      <c r="A21" s="551" t="s">
        <v>21</v>
      </c>
      <c r="B21" s="552"/>
      <c r="C21" s="552"/>
      <c r="D21" s="552"/>
      <c r="E21" s="552"/>
      <c r="F21" s="552"/>
      <c r="G21" s="552"/>
      <c r="H21" s="553"/>
      <c r="I21" s="16">
        <f>SUM(I17:I20)</f>
        <v>171.62</v>
      </c>
    </row>
    <row r="22" spans="1:9">
      <c r="A22" s="550"/>
      <c r="B22" s="550"/>
      <c r="C22" s="550"/>
      <c r="D22" s="550"/>
      <c r="E22" s="550"/>
      <c r="F22" s="550"/>
      <c r="G22" s="550"/>
      <c r="H22" s="550"/>
      <c r="I22" s="550"/>
    </row>
    <row r="23" spans="1:9">
      <c r="A23" s="541" t="s">
        <v>22</v>
      </c>
      <c r="B23" s="541"/>
      <c r="C23" s="541"/>
      <c r="D23" s="541"/>
      <c r="E23" s="541"/>
      <c r="F23" s="6"/>
      <c r="G23" s="6"/>
      <c r="H23" s="6"/>
      <c r="I23" s="6"/>
    </row>
    <row r="24" spans="1:9">
      <c r="A24" s="554" t="s">
        <v>23</v>
      </c>
      <c r="B24" s="555"/>
      <c r="C24" s="556"/>
      <c r="D24" s="9" t="s">
        <v>24</v>
      </c>
      <c r="E24" s="9" t="s">
        <v>25</v>
      </c>
      <c r="F24" s="6"/>
      <c r="G24" s="6"/>
      <c r="H24" s="6"/>
      <c r="I24" s="6"/>
    </row>
    <row r="25" spans="1:9">
      <c r="A25" s="542" t="s">
        <v>26</v>
      </c>
      <c r="B25" s="543"/>
      <c r="C25" s="544"/>
      <c r="D25" s="545">
        <v>160.37</v>
      </c>
      <c r="E25" s="17">
        <f>I14</f>
        <v>139.49</v>
      </c>
      <c r="F25" s="6"/>
      <c r="G25" s="6"/>
      <c r="H25" s="6"/>
      <c r="I25" s="6"/>
    </row>
    <row r="26" spans="1:9">
      <c r="A26" s="542" t="s">
        <v>27</v>
      </c>
      <c r="B26" s="543"/>
      <c r="C26" s="544"/>
      <c r="D26" s="557"/>
      <c r="E26" s="17">
        <f>I21</f>
        <v>171.62</v>
      </c>
      <c r="F26" s="6"/>
      <c r="G26" s="6"/>
      <c r="H26" s="6"/>
      <c r="I26" s="6"/>
    </row>
    <row r="27" spans="1:9">
      <c r="A27" s="542" t="s">
        <v>28</v>
      </c>
      <c r="B27" s="543"/>
      <c r="C27" s="544"/>
      <c r="D27" s="557"/>
      <c r="E27" s="13">
        <v>0</v>
      </c>
      <c r="F27" s="6"/>
      <c r="G27" s="6"/>
      <c r="H27" s="6"/>
      <c r="I27" s="6"/>
    </row>
    <row r="28" spans="1:9">
      <c r="A28" s="542" t="s">
        <v>29</v>
      </c>
      <c r="B28" s="543"/>
      <c r="C28" s="544"/>
      <c r="D28" s="557"/>
      <c r="E28" s="13">
        <v>1</v>
      </c>
      <c r="F28" s="6"/>
      <c r="G28" s="6"/>
      <c r="H28" s="6"/>
      <c r="I28" s="6"/>
    </row>
    <row r="29" spans="1:9">
      <c r="A29" s="542" t="s">
        <v>30</v>
      </c>
      <c r="B29" s="543"/>
      <c r="C29" s="544"/>
      <c r="D29" s="557"/>
      <c r="E29" s="17">
        <f>E25+E27</f>
        <v>139.49</v>
      </c>
      <c r="F29" s="6"/>
      <c r="G29" s="6"/>
      <c r="H29" s="6"/>
      <c r="I29" s="6"/>
    </row>
    <row r="30" spans="1:9">
      <c r="A30" s="542" t="s">
        <v>31</v>
      </c>
      <c r="B30" s="543"/>
      <c r="C30" s="544"/>
      <c r="D30" s="557"/>
      <c r="E30" s="17">
        <f>(E25/E28)+(E27/E28)</f>
        <v>139.49</v>
      </c>
      <c r="F30" s="6"/>
      <c r="G30" s="6"/>
      <c r="H30" s="6"/>
      <c r="I30" s="6"/>
    </row>
    <row r="31" spans="1:9">
      <c r="A31" s="542" t="s">
        <v>32</v>
      </c>
      <c r="B31" s="543"/>
      <c r="C31" s="544"/>
      <c r="D31" s="546"/>
      <c r="E31" s="17">
        <f>(E26+E30)</f>
        <v>311.11</v>
      </c>
      <c r="F31" s="6"/>
      <c r="G31" s="6"/>
      <c r="H31" s="6"/>
      <c r="I31" s="6"/>
    </row>
    <row r="32" spans="1:9">
      <c r="A32" s="542" t="s">
        <v>33</v>
      </c>
      <c r="B32" s="543"/>
      <c r="C32" s="544"/>
      <c r="D32" s="545">
        <v>0</v>
      </c>
      <c r="E32" s="17">
        <v>0</v>
      </c>
      <c r="F32" s="6"/>
      <c r="G32" s="6"/>
      <c r="H32" s="6"/>
      <c r="I32" s="6"/>
    </row>
    <row r="33" spans="1:9">
      <c r="A33" s="547" t="s">
        <v>34</v>
      </c>
      <c r="B33" s="548"/>
      <c r="C33" s="549"/>
      <c r="D33" s="546"/>
      <c r="E33" s="16">
        <f>E31+E32</f>
        <v>311.11</v>
      </c>
      <c r="F33" s="6"/>
      <c r="G33" s="6"/>
      <c r="H33" s="6"/>
      <c r="I33" s="6"/>
    </row>
    <row r="34" spans="1:9">
      <c r="A34" s="540"/>
      <c r="B34" s="540"/>
      <c r="C34" s="540"/>
      <c r="D34" s="540"/>
      <c r="E34" s="540"/>
      <c r="F34" s="540"/>
      <c r="G34" s="540"/>
      <c r="H34" s="540"/>
      <c r="I34" s="540"/>
    </row>
    <row r="35" spans="1:9">
      <c r="A35" s="540"/>
      <c r="B35" s="540"/>
      <c r="C35" s="540"/>
      <c r="D35" s="540"/>
      <c r="E35" s="540"/>
      <c r="F35" s="540"/>
      <c r="G35" s="540"/>
      <c r="H35" s="540"/>
      <c r="I35" s="540"/>
    </row>
    <row r="36" spans="1:9">
      <c r="A36" s="541"/>
      <c r="B36" s="541"/>
      <c r="C36" s="541"/>
      <c r="D36" s="541"/>
      <c r="E36" s="541"/>
      <c r="F36" s="541"/>
      <c r="G36" s="541"/>
      <c r="H36" s="541"/>
      <c r="I36" s="541"/>
    </row>
    <row r="37" spans="1:9">
      <c r="A37" s="6"/>
      <c r="B37" s="6"/>
      <c r="C37" s="6"/>
      <c r="D37" s="6"/>
      <c r="E37" s="6"/>
      <c r="F37" s="6"/>
      <c r="G37" s="6"/>
      <c r="H37" s="6"/>
      <c r="I37" s="6"/>
    </row>
  </sheetData>
  <mergeCells count="32">
    <mergeCell ref="A22:I22"/>
    <mergeCell ref="A36:I36"/>
    <mergeCell ref="A24:C24"/>
    <mergeCell ref="A25:C25"/>
    <mergeCell ref="D25:D31"/>
    <mergeCell ref="A26:C26"/>
    <mergeCell ref="A27:C27"/>
    <mergeCell ref="A28:C28"/>
    <mergeCell ref="A29:C29"/>
    <mergeCell ref="A30:C30"/>
    <mergeCell ref="A31:C31"/>
    <mergeCell ref="A32:C32"/>
    <mergeCell ref="D32:D33"/>
    <mergeCell ref="A33:C33"/>
    <mergeCell ref="A34:I34"/>
    <mergeCell ref="A35:I35"/>
    <mergeCell ref="A6:F6"/>
    <mergeCell ref="G6:I6"/>
    <mergeCell ref="A5:I5"/>
    <mergeCell ref="A1:I4"/>
    <mergeCell ref="A23:E23"/>
    <mergeCell ref="A7:I7"/>
    <mergeCell ref="A8:G8"/>
    <mergeCell ref="H8:I8"/>
    <mergeCell ref="A9:B9"/>
    <mergeCell ref="C9:D9"/>
    <mergeCell ref="E9:G9"/>
    <mergeCell ref="H9:I9"/>
    <mergeCell ref="A10:I10"/>
    <mergeCell ref="A14:H14"/>
    <mergeCell ref="A15:I15"/>
    <mergeCell ref="A21:H21"/>
  </mergeCells>
  <pageMargins left="0.51181102362204722" right="0.51181102362204722" top="0.78740157480314965" bottom="0.78740157480314965" header="0.31496062992125984" footer="0.31496062992125984"/>
  <pageSetup paperSize="9" scale="8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45D6B-6B59-4A1E-8BF1-AC600F27B817}">
  <dimension ref="A1:L32"/>
  <sheetViews>
    <sheetView topLeftCell="A13" workbookViewId="0">
      <selection activeCell="E10" sqref="E10:I10"/>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1002</v>
      </c>
      <c r="B1" s="195"/>
      <c r="C1" s="195"/>
      <c r="D1" s="195"/>
      <c r="E1" s="195"/>
      <c r="F1" s="196" t="str">
        <f>'[1]PLANILHA '!H7</f>
        <v>DATA BASE DA PLANILHA:</v>
      </c>
      <c r="G1" s="197"/>
      <c r="H1" s="197"/>
      <c r="I1" s="196" t="str">
        <f>'[2]CRONOGRAMA '!E3</f>
        <v>JANEIRO 2025</v>
      </c>
      <c r="K1" s="195"/>
      <c r="L1" s="198"/>
    </row>
    <row r="2" spans="1:12">
      <c r="A2" s="606" t="s">
        <v>1003</v>
      </c>
      <c r="B2" s="607"/>
      <c r="C2" s="199" t="s">
        <v>905</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ht="15" customHeight="1">
      <c r="A4" s="578" t="s">
        <v>1005</v>
      </c>
      <c r="B4" s="584" t="s">
        <v>1006</v>
      </c>
      <c r="C4" s="582" t="s">
        <v>1007</v>
      </c>
      <c r="D4" s="582" t="s">
        <v>1008</v>
      </c>
      <c r="E4" s="582" t="s">
        <v>1009</v>
      </c>
      <c r="F4" s="582"/>
      <c r="G4" s="582"/>
      <c r="H4" s="582"/>
      <c r="I4" s="582"/>
      <c r="J4" s="582" t="s">
        <v>1010</v>
      </c>
      <c r="K4" s="582"/>
      <c r="L4" s="614"/>
    </row>
    <row r="5" spans="1:12" ht="15" customHeight="1">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ustomHeight="1">
      <c r="A9" s="218" t="s">
        <v>1005</v>
      </c>
      <c r="B9" s="219" t="s">
        <v>1006</v>
      </c>
      <c r="C9" s="220" t="s">
        <v>1017</v>
      </c>
      <c r="D9" s="220" t="s">
        <v>1018</v>
      </c>
      <c r="E9" s="589" t="s">
        <v>1019</v>
      </c>
      <c r="F9" s="590"/>
      <c r="G9" s="590"/>
      <c r="H9" s="590"/>
      <c r="I9" s="591"/>
      <c r="J9" s="589" t="s">
        <v>1020</v>
      </c>
      <c r="K9" s="591"/>
      <c r="L9" s="221" t="s">
        <v>1021</v>
      </c>
    </row>
    <row r="10" spans="1:12" ht="25.5">
      <c r="A10" s="210">
        <v>88267</v>
      </c>
      <c r="B10" s="222" t="s">
        <v>72</v>
      </c>
      <c r="C10" s="223" t="s">
        <v>1022</v>
      </c>
      <c r="D10" s="210" t="s">
        <v>20</v>
      </c>
      <c r="E10" s="592">
        <v>0.3</v>
      </c>
      <c r="F10" s="592"/>
      <c r="G10" s="592"/>
      <c r="H10" s="592"/>
      <c r="I10" s="592"/>
      <c r="J10" s="599">
        <v>29.54</v>
      </c>
      <c r="K10" s="599"/>
      <c r="L10" s="224">
        <f>ROUND(J10*E10,2)</f>
        <v>8.86</v>
      </c>
    </row>
    <row r="11" spans="1:12" ht="25.5">
      <c r="A11" s="210">
        <v>88248</v>
      </c>
      <c r="B11" s="222" t="s">
        <v>72</v>
      </c>
      <c r="C11" s="223" t="s">
        <v>1023</v>
      </c>
      <c r="D11" s="210" t="s">
        <v>20</v>
      </c>
      <c r="E11" s="592">
        <v>0.3</v>
      </c>
      <c r="F11" s="592"/>
      <c r="G11" s="592"/>
      <c r="H11" s="592"/>
      <c r="I11" s="592"/>
      <c r="J11" s="600">
        <v>25.3</v>
      </c>
      <c r="K11" s="600"/>
      <c r="L11" s="224">
        <f>ROUND(J11*E11,2)</f>
        <v>7.59</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16.45</v>
      </c>
    </row>
    <row r="15" spans="1:12" ht="15.75" customHeight="1" thickBot="1">
      <c r="A15" s="596" t="s">
        <v>1025</v>
      </c>
      <c r="B15" s="597"/>
      <c r="C15" s="597"/>
      <c r="D15" s="597"/>
      <c r="E15" s="597"/>
      <c r="F15" s="597"/>
      <c r="G15" s="597"/>
      <c r="H15" s="597"/>
      <c r="I15" s="597"/>
      <c r="J15" s="597"/>
      <c r="K15" s="598"/>
      <c r="L15" s="228">
        <f>L14*0.05</f>
        <v>0.82</v>
      </c>
    </row>
    <row r="16" spans="1:12" ht="15.75" thickBot="1">
      <c r="A16" s="574" t="s">
        <v>1026</v>
      </c>
      <c r="B16" s="575"/>
      <c r="C16" s="576"/>
      <c r="D16" s="576"/>
      <c r="E16" s="576"/>
      <c r="F16" s="576"/>
      <c r="G16" s="576"/>
      <c r="H16" s="576"/>
      <c r="I16" s="576"/>
      <c r="J16" s="576"/>
      <c r="K16" s="576"/>
      <c r="L16" s="229">
        <v>1</v>
      </c>
    </row>
    <row r="17" spans="1:12" ht="15.75" customHeight="1" thickBot="1">
      <c r="A17" s="596" t="s">
        <v>1027</v>
      </c>
      <c r="B17" s="597"/>
      <c r="C17" s="597"/>
      <c r="D17" s="597"/>
      <c r="E17" s="597"/>
      <c r="F17" s="597"/>
      <c r="G17" s="597"/>
      <c r="H17" s="597"/>
      <c r="I17" s="597"/>
      <c r="J17" s="597"/>
      <c r="K17" s="598"/>
      <c r="L17" s="228">
        <f>ROUND((L8+L14+L15)/L16,2)</f>
        <v>17.27</v>
      </c>
    </row>
    <row r="18" spans="1:12" ht="15" customHeight="1">
      <c r="A18" s="218" t="s">
        <v>1005</v>
      </c>
      <c r="B18" s="219" t="s">
        <v>1006</v>
      </c>
      <c r="C18" s="220" t="s">
        <v>1028</v>
      </c>
      <c r="D18" s="220" t="s">
        <v>1018</v>
      </c>
      <c r="E18" s="589" t="s">
        <v>1029</v>
      </c>
      <c r="F18" s="590"/>
      <c r="G18" s="590"/>
      <c r="H18" s="590"/>
      <c r="I18" s="591"/>
      <c r="J18" s="589" t="s">
        <v>1030</v>
      </c>
      <c r="K18" s="591"/>
      <c r="L18" s="221" t="s">
        <v>1031</v>
      </c>
    </row>
    <row r="19" spans="1:12">
      <c r="A19" s="230">
        <v>122</v>
      </c>
      <c r="B19" s="207" t="s">
        <v>72</v>
      </c>
      <c r="C19" s="223" t="s">
        <v>1032</v>
      </c>
      <c r="D19" s="210" t="s">
        <v>340</v>
      </c>
      <c r="E19" s="592">
        <v>3.5299999999999998E-2</v>
      </c>
      <c r="F19" s="592"/>
      <c r="G19" s="592"/>
      <c r="H19" s="592"/>
      <c r="I19" s="592"/>
      <c r="J19" s="593">
        <v>66.86</v>
      </c>
      <c r="K19" s="593"/>
      <c r="L19" s="224">
        <f>E19*J19</f>
        <v>2.36</v>
      </c>
    </row>
    <row r="20" spans="1:12">
      <c r="A20" s="594" t="s">
        <v>1052</v>
      </c>
      <c r="B20" s="595"/>
      <c r="C20" s="231" t="e">
        <f>[2]MERC.03!C2</f>
        <v>#REF!</v>
      </c>
      <c r="D20" s="210" t="s">
        <v>340</v>
      </c>
      <c r="E20" s="577">
        <v>1</v>
      </c>
      <c r="F20" s="577"/>
      <c r="G20" s="577"/>
      <c r="H20" s="577"/>
      <c r="I20" s="577"/>
      <c r="J20" s="593" t="e">
        <f>[2]MERC.03!H10</f>
        <v>#REF!</v>
      </c>
      <c r="K20" s="593"/>
      <c r="L20" s="224" t="e">
        <f>E20*J20</f>
        <v>#REF!</v>
      </c>
    </row>
    <row r="21" spans="1:12" ht="25.5">
      <c r="A21" s="210">
        <v>20083</v>
      </c>
      <c r="B21" s="207" t="s">
        <v>72</v>
      </c>
      <c r="C21" s="223" t="s">
        <v>1034</v>
      </c>
      <c r="D21" s="210" t="s">
        <v>340</v>
      </c>
      <c r="E21" s="577">
        <v>0.06</v>
      </c>
      <c r="F21" s="577"/>
      <c r="G21" s="577"/>
      <c r="H21" s="577"/>
      <c r="I21" s="577"/>
      <c r="J21" s="593">
        <v>78.02</v>
      </c>
      <c r="K21" s="593"/>
      <c r="L21" s="224">
        <f>E21*J21</f>
        <v>4.68</v>
      </c>
    </row>
    <row r="22" spans="1:12">
      <c r="A22" s="210">
        <v>38383</v>
      </c>
      <c r="B22" s="207" t="s">
        <v>72</v>
      </c>
      <c r="C22" s="223" t="s">
        <v>1035</v>
      </c>
      <c r="D22" s="210" t="s">
        <v>49</v>
      </c>
      <c r="E22" s="577">
        <v>0.03</v>
      </c>
      <c r="F22" s="577"/>
      <c r="G22" s="577"/>
      <c r="H22" s="577"/>
      <c r="I22" s="577"/>
      <c r="J22" s="593">
        <v>2.44</v>
      </c>
      <c r="K22" s="593"/>
      <c r="L22" s="224">
        <f>E22*J22</f>
        <v>7.0000000000000007E-2</v>
      </c>
    </row>
    <row r="23" spans="1:12">
      <c r="A23" s="574" t="s">
        <v>1036</v>
      </c>
      <c r="B23" s="575"/>
      <c r="C23" s="576"/>
      <c r="D23" s="576"/>
      <c r="E23" s="576"/>
      <c r="F23" s="576"/>
      <c r="G23" s="576"/>
      <c r="H23" s="576"/>
      <c r="I23" s="576"/>
      <c r="J23" s="576"/>
      <c r="K23" s="576"/>
      <c r="L23" s="227" t="e">
        <f>SUM(L19:L22)</f>
        <v>#REF!</v>
      </c>
    </row>
    <row r="24" spans="1:12" ht="15" customHeight="1">
      <c r="A24" s="218" t="s">
        <v>1005</v>
      </c>
      <c r="B24" s="219" t="s">
        <v>1006</v>
      </c>
      <c r="C24" s="220" t="s">
        <v>1037</v>
      </c>
      <c r="D24" s="220" t="s">
        <v>1018</v>
      </c>
      <c r="E24" s="589" t="s">
        <v>1029</v>
      </c>
      <c r="F24" s="590"/>
      <c r="G24" s="590"/>
      <c r="H24" s="590"/>
      <c r="I24" s="591"/>
      <c r="J24" s="589" t="s">
        <v>1030</v>
      </c>
      <c r="K24" s="591"/>
      <c r="L24" s="221" t="s">
        <v>1031</v>
      </c>
    </row>
    <row r="25" spans="1:12">
      <c r="A25" s="210"/>
      <c r="B25" s="207"/>
      <c r="C25" s="223"/>
      <c r="D25" s="210"/>
      <c r="E25" s="577"/>
      <c r="F25" s="577"/>
      <c r="G25" s="577"/>
      <c r="H25" s="577"/>
      <c r="I25" s="577"/>
      <c r="J25" s="577"/>
      <c r="K25" s="577"/>
      <c r="L25" s="232">
        <f>J25*E25</f>
        <v>0</v>
      </c>
    </row>
    <row r="26" spans="1:12" ht="15.75" thickBot="1">
      <c r="A26" s="574" t="s">
        <v>1038</v>
      </c>
      <c r="B26" s="575"/>
      <c r="C26" s="576"/>
      <c r="D26" s="576"/>
      <c r="E26" s="576"/>
      <c r="F26" s="576"/>
      <c r="G26" s="576"/>
      <c r="H26" s="576"/>
      <c r="I26" s="576"/>
      <c r="J26" s="576"/>
      <c r="K26" s="576"/>
      <c r="L26" s="227">
        <f>SUM(L25:L25)</f>
        <v>0</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ht="15" customHeight="1">
      <c r="A28" s="579"/>
      <c r="B28" s="581"/>
      <c r="C28" s="583"/>
      <c r="D28" s="583"/>
      <c r="E28" s="233" t="s">
        <v>1043</v>
      </c>
      <c r="F28" s="233" t="s">
        <v>1044</v>
      </c>
      <c r="G28" s="585"/>
      <c r="H28" s="570" t="s">
        <v>725</v>
      </c>
      <c r="I28" s="571"/>
      <c r="J28" s="570" t="s">
        <v>1030</v>
      </c>
      <c r="K28" s="571"/>
      <c r="L28" s="569"/>
    </row>
    <row r="29" spans="1:12">
      <c r="A29" s="234"/>
      <c r="B29" s="207"/>
      <c r="C29" s="235"/>
      <c r="D29" s="236"/>
      <c r="E29" s="236"/>
      <c r="F29" s="236"/>
      <c r="G29" s="236"/>
      <c r="H29" s="572"/>
      <c r="I29" s="572"/>
      <c r="J29" s="573"/>
      <c r="K29" s="573"/>
      <c r="L29" s="236">
        <f>G29*J29</f>
        <v>0</v>
      </c>
    </row>
    <row r="30" spans="1:12" ht="15.75" thickBot="1">
      <c r="A30" s="574" t="s">
        <v>1045</v>
      </c>
      <c r="B30" s="575"/>
      <c r="C30" s="576"/>
      <c r="D30" s="576"/>
      <c r="E30" s="576"/>
      <c r="F30" s="576"/>
      <c r="G30" s="576"/>
      <c r="H30" s="576"/>
      <c r="I30" s="576"/>
      <c r="J30" s="576"/>
      <c r="K30" s="576"/>
      <c r="L30" s="227">
        <f>SUM(L29:L29)</f>
        <v>0</v>
      </c>
    </row>
    <row r="31" spans="1:12" ht="15.75" customHeight="1" thickBot="1">
      <c r="A31" s="562" t="s">
        <v>1046</v>
      </c>
      <c r="B31" s="563"/>
      <c r="C31" s="563"/>
      <c r="D31" s="563"/>
      <c r="E31" s="563"/>
      <c r="F31" s="563"/>
      <c r="G31" s="563"/>
      <c r="H31" s="563"/>
      <c r="I31" s="563"/>
      <c r="J31" s="563"/>
      <c r="K31" s="564"/>
      <c r="L31" s="228" t="e">
        <f>L17+L23+L26+L30</f>
        <v>#REF!</v>
      </c>
    </row>
    <row r="32" spans="1:12" ht="15.75" customHeight="1" thickBot="1">
      <c r="A32" s="565" t="s">
        <v>1047</v>
      </c>
      <c r="B32" s="566"/>
      <c r="C32" s="566"/>
      <c r="D32" s="566"/>
      <c r="E32" s="566"/>
      <c r="F32" s="566"/>
      <c r="G32" s="566"/>
      <c r="H32" s="566"/>
      <c r="I32" s="566"/>
      <c r="J32" s="566"/>
      <c r="K32" s="567"/>
      <c r="L32" s="237" t="e">
        <f>L31</f>
        <v>#REF!</v>
      </c>
    </row>
  </sheetData>
  <mergeCells count="59">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24:I24"/>
    <mergeCell ref="J24:K24"/>
    <mergeCell ref="E18:I18"/>
    <mergeCell ref="J18:K18"/>
    <mergeCell ref="E19:I19"/>
    <mergeCell ref="J19:K19"/>
    <mergeCell ref="E21:I21"/>
    <mergeCell ref="J21:K21"/>
    <mergeCell ref="E22:I22"/>
    <mergeCell ref="J22:K22"/>
    <mergeCell ref="A23:K23"/>
    <mergeCell ref="A20:B20"/>
    <mergeCell ref="E20:I20"/>
    <mergeCell ref="J20:K20"/>
    <mergeCell ref="E25:I25"/>
    <mergeCell ref="J25:K25"/>
    <mergeCell ref="A26:K26"/>
    <mergeCell ref="A27:A28"/>
    <mergeCell ref="B27:B28"/>
    <mergeCell ref="C27:C28"/>
    <mergeCell ref="D27:D28"/>
    <mergeCell ref="G27:G28"/>
    <mergeCell ref="H27:K27"/>
    <mergeCell ref="A31:K31"/>
    <mergeCell ref="A32:K32"/>
    <mergeCell ref="L27:L28"/>
    <mergeCell ref="H28:I28"/>
    <mergeCell ref="J28:K28"/>
    <mergeCell ref="H29:I29"/>
    <mergeCell ref="J29:K29"/>
    <mergeCell ref="A30:K30"/>
  </mergeCells>
  <pageMargins left="0.511811024" right="0.511811024" top="0.78740157499999996" bottom="0.78740157499999996" header="0.31496062000000002" footer="0.3149606200000000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067B0-87D6-4016-8065-7A323C8631E3}">
  <dimension ref="A1:L32"/>
  <sheetViews>
    <sheetView workbookViewId="0">
      <selection activeCell="A15" sqref="A15:K15"/>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1048</v>
      </c>
      <c r="B1" s="195"/>
      <c r="C1" s="195"/>
      <c r="D1" s="195"/>
      <c r="E1" s="195"/>
      <c r="F1" s="196" t="str">
        <f>'[1]PLANILHA '!H7</f>
        <v>DATA BASE DA PLANILHA:</v>
      </c>
      <c r="G1" s="197"/>
      <c r="H1" s="197"/>
      <c r="I1" s="196" t="str">
        <f>'[2]CRONOGRAMA '!E3</f>
        <v>JANEIRO 2025</v>
      </c>
      <c r="K1" s="195"/>
      <c r="L1" s="198"/>
    </row>
    <row r="2" spans="1:12">
      <c r="A2" s="606" t="s">
        <v>1003</v>
      </c>
      <c r="B2" s="607"/>
      <c r="C2" s="199" t="s">
        <v>906</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ht="15" customHeight="1">
      <c r="A4" s="578" t="s">
        <v>1005</v>
      </c>
      <c r="B4" s="584" t="s">
        <v>1006</v>
      </c>
      <c r="C4" s="582" t="s">
        <v>1007</v>
      </c>
      <c r="D4" s="582" t="s">
        <v>1008</v>
      </c>
      <c r="E4" s="582" t="s">
        <v>1009</v>
      </c>
      <c r="F4" s="582"/>
      <c r="G4" s="582"/>
      <c r="H4" s="582"/>
      <c r="I4" s="582"/>
      <c r="J4" s="582" t="s">
        <v>1010</v>
      </c>
      <c r="K4" s="582"/>
      <c r="L4" s="614"/>
    </row>
    <row r="5" spans="1:12" ht="15" customHeight="1">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ustomHeight="1">
      <c r="A9" s="218" t="s">
        <v>1005</v>
      </c>
      <c r="B9" s="219" t="s">
        <v>1006</v>
      </c>
      <c r="C9" s="220" t="s">
        <v>1017</v>
      </c>
      <c r="D9" s="220" t="s">
        <v>1018</v>
      </c>
      <c r="E9" s="589" t="s">
        <v>1019</v>
      </c>
      <c r="F9" s="590"/>
      <c r="G9" s="590"/>
      <c r="H9" s="590"/>
      <c r="I9" s="591"/>
      <c r="J9" s="589" t="s">
        <v>1020</v>
      </c>
      <c r="K9" s="591"/>
      <c r="L9" s="221" t="s">
        <v>1021</v>
      </c>
    </row>
    <row r="10" spans="1:12" ht="25.5">
      <c r="A10" s="210">
        <v>88267</v>
      </c>
      <c r="B10" s="222" t="s">
        <v>72</v>
      </c>
      <c r="C10" s="223" t="s">
        <v>1022</v>
      </c>
      <c r="D10" s="210" t="s">
        <v>20</v>
      </c>
      <c r="E10" s="592">
        <v>0.3</v>
      </c>
      <c r="F10" s="592"/>
      <c r="G10" s="592"/>
      <c r="H10" s="592"/>
      <c r="I10" s="592"/>
      <c r="J10" s="599">
        <v>29.54</v>
      </c>
      <c r="K10" s="599"/>
      <c r="L10" s="224">
        <f>ROUND(J10*E10,2)</f>
        <v>8.86</v>
      </c>
    </row>
    <row r="11" spans="1:12" ht="25.5">
      <c r="A11" s="210">
        <v>88248</v>
      </c>
      <c r="B11" s="222" t="s">
        <v>72</v>
      </c>
      <c r="C11" s="223" t="s">
        <v>1023</v>
      </c>
      <c r="D11" s="210" t="s">
        <v>20</v>
      </c>
      <c r="E11" s="592">
        <v>0.3</v>
      </c>
      <c r="F11" s="592"/>
      <c r="G11" s="592"/>
      <c r="H11" s="592"/>
      <c r="I11" s="592"/>
      <c r="J11" s="600">
        <v>25.3</v>
      </c>
      <c r="K11" s="600"/>
      <c r="L11" s="224">
        <f>ROUND(J11*E11,2)</f>
        <v>7.59</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16.45</v>
      </c>
    </row>
    <row r="15" spans="1:12" ht="15.75" customHeight="1" thickBot="1">
      <c r="A15" s="596" t="s">
        <v>1025</v>
      </c>
      <c r="B15" s="597"/>
      <c r="C15" s="597"/>
      <c r="D15" s="597"/>
      <c r="E15" s="597"/>
      <c r="F15" s="597"/>
      <c r="G15" s="597"/>
      <c r="H15" s="597"/>
      <c r="I15" s="597"/>
      <c r="J15" s="597"/>
      <c r="K15" s="598"/>
      <c r="L15" s="228">
        <f>L14*0.05</f>
        <v>0.82</v>
      </c>
    </row>
    <row r="16" spans="1:12" ht="15.75" thickBot="1">
      <c r="A16" s="574" t="s">
        <v>1026</v>
      </c>
      <c r="B16" s="575"/>
      <c r="C16" s="576"/>
      <c r="D16" s="576"/>
      <c r="E16" s="576"/>
      <c r="F16" s="576"/>
      <c r="G16" s="576"/>
      <c r="H16" s="576"/>
      <c r="I16" s="576"/>
      <c r="J16" s="576"/>
      <c r="K16" s="576"/>
      <c r="L16" s="229">
        <v>1</v>
      </c>
    </row>
    <row r="17" spans="1:12" ht="15.75" customHeight="1" thickBot="1">
      <c r="A17" s="596" t="s">
        <v>1027</v>
      </c>
      <c r="B17" s="597"/>
      <c r="C17" s="597"/>
      <c r="D17" s="597"/>
      <c r="E17" s="597"/>
      <c r="F17" s="597"/>
      <c r="G17" s="597"/>
      <c r="H17" s="597"/>
      <c r="I17" s="597"/>
      <c r="J17" s="597"/>
      <c r="K17" s="598"/>
      <c r="L17" s="228">
        <f>ROUND((L8+L14+L15)/L16,2)</f>
        <v>17.27</v>
      </c>
    </row>
    <row r="18" spans="1:12" ht="15" customHeight="1">
      <c r="A18" s="218" t="s">
        <v>1005</v>
      </c>
      <c r="B18" s="219" t="s">
        <v>1006</v>
      </c>
      <c r="C18" s="220" t="s">
        <v>1028</v>
      </c>
      <c r="D18" s="220" t="s">
        <v>1018</v>
      </c>
      <c r="E18" s="589" t="s">
        <v>1029</v>
      </c>
      <c r="F18" s="590"/>
      <c r="G18" s="590"/>
      <c r="H18" s="590"/>
      <c r="I18" s="591"/>
      <c r="J18" s="589" t="s">
        <v>1030</v>
      </c>
      <c r="K18" s="591"/>
      <c r="L18" s="221" t="s">
        <v>1031</v>
      </c>
    </row>
    <row r="19" spans="1:12">
      <c r="A19" s="230">
        <v>122</v>
      </c>
      <c r="B19" s="207" t="s">
        <v>72</v>
      </c>
      <c r="C19" s="223" t="s">
        <v>1032</v>
      </c>
      <c r="D19" s="210" t="s">
        <v>340</v>
      </c>
      <c r="E19" s="592">
        <v>3.5299999999999998E-2</v>
      </c>
      <c r="F19" s="592"/>
      <c r="G19" s="592"/>
      <c r="H19" s="592"/>
      <c r="I19" s="592"/>
      <c r="J19" s="593">
        <v>66.86</v>
      </c>
      <c r="K19" s="593"/>
      <c r="L19" s="224">
        <f>E19*J19</f>
        <v>2.36</v>
      </c>
    </row>
    <row r="20" spans="1:12">
      <c r="A20" s="594" t="s">
        <v>1033</v>
      </c>
      <c r="B20" s="595"/>
      <c r="C20" s="231" t="e">
        <f>[2]MERC.04!C2</f>
        <v>#REF!</v>
      </c>
      <c r="D20" s="210" t="s">
        <v>340</v>
      </c>
      <c r="E20" s="577">
        <v>1</v>
      </c>
      <c r="F20" s="577"/>
      <c r="G20" s="577"/>
      <c r="H20" s="577"/>
      <c r="I20" s="577"/>
      <c r="J20" s="593" t="e">
        <f>[2]MERC.04!H10</f>
        <v>#REF!</v>
      </c>
      <c r="K20" s="593"/>
      <c r="L20" s="224" t="e">
        <f>E20*J20</f>
        <v>#REF!</v>
      </c>
    </row>
    <row r="21" spans="1:12" ht="25.5">
      <c r="A21" s="210">
        <v>20083</v>
      </c>
      <c r="B21" s="207" t="s">
        <v>72</v>
      </c>
      <c r="C21" s="223" t="s">
        <v>1034</v>
      </c>
      <c r="D21" s="210" t="s">
        <v>340</v>
      </c>
      <c r="E21" s="577">
        <v>0.06</v>
      </c>
      <c r="F21" s="577"/>
      <c r="G21" s="577"/>
      <c r="H21" s="577"/>
      <c r="I21" s="577"/>
      <c r="J21" s="593">
        <v>78.02</v>
      </c>
      <c r="K21" s="593"/>
      <c r="L21" s="224">
        <f>E21*J21</f>
        <v>4.68</v>
      </c>
    </row>
    <row r="22" spans="1:12" ht="15" customHeight="1">
      <c r="A22" s="210">
        <v>38383</v>
      </c>
      <c r="B22" s="207" t="s">
        <v>72</v>
      </c>
      <c r="C22" s="223" t="s">
        <v>1035</v>
      </c>
      <c r="D22" s="210" t="s">
        <v>49</v>
      </c>
      <c r="E22" s="577">
        <v>0.03</v>
      </c>
      <c r="F22" s="577"/>
      <c r="G22" s="577"/>
      <c r="H22" s="577"/>
      <c r="I22" s="577"/>
      <c r="J22" s="593">
        <v>2.44</v>
      </c>
      <c r="K22" s="593"/>
      <c r="L22" s="224">
        <f>E22*J22</f>
        <v>7.0000000000000007E-2</v>
      </c>
    </row>
    <row r="23" spans="1:12">
      <c r="A23" s="574" t="s">
        <v>1036</v>
      </c>
      <c r="B23" s="575"/>
      <c r="C23" s="576"/>
      <c r="D23" s="576"/>
      <c r="E23" s="576"/>
      <c r="F23" s="576"/>
      <c r="G23" s="576"/>
      <c r="H23" s="576"/>
      <c r="I23" s="576"/>
      <c r="J23" s="576"/>
      <c r="K23" s="576"/>
      <c r="L23" s="227" t="e">
        <f>SUM(L19:L22)</f>
        <v>#REF!</v>
      </c>
    </row>
    <row r="24" spans="1:12">
      <c r="A24" s="218" t="s">
        <v>1005</v>
      </c>
      <c r="B24" s="219" t="s">
        <v>1006</v>
      </c>
      <c r="C24" s="220" t="s">
        <v>1037</v>
      </c>
      <c r="D24" s="220" t="s">
        <v>1018</v>
      </c>
      <c r="E24" s="589" t="s">
        <v>1029</v>
      </c>
      <c r="F24" s="590"/>
      <c r="G24" s="590"/>
      <c r="H24" s="590"/>
      <c r="I24" s="591"/>
      <c r="J24" s="589" t="s">
        <v>1030</v>
      </c>
      <c r="K24" s="591"/>
      <c r="L24" s="221" t="s">
        <v>1031</v>
      </c>
    </row>
    <row r="25" spans="1:12">
      <c r="A25" s="210"/>
      <c r="B25" s="207"/>
      <c r="C25" s="223"/>
      <c r="D25" s="210"/>
      <c r="E25" s="577"/>
      <c r="F25" s="577"/>
      <c r="G25" s="577"/>
      <c r="H25" s="577"/>
      <c r="I25" s="577"/>
      <c r="J25" s="577"/>
      <c r="K25" s="577"/>
      <c r="L25" s="232">
        <f>J25*E25</f>
        <v>0</v>
      </c>
    </row>
    <row r="26" spans="1:12" ht="15" customHeight="1" thickBot="1">
      <c r="A26" s="574" t="s">
        <v>1038</v>
      </c>
      <c r="B26" s="575"/>
      <c r="C26" s="576"/>
      <c r="D26" s="576"/>
      <c r="E26" s="576"/>
      <c r="F26" s="576"/>
      <c r="G26" s="576"/>
      <c r="H26" s="576"/>
      <c r="I26" s="576"/>
      <c r="J26" s="576"/>
      <c r="K26" s="576"/>
      <c r="L26" s="227">
        <f>SUM(L25:L25)</f>
        <v>0</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c r="A28" s="579"/>
      <c r="B28" s="581"/>
      <c r="C28" s="583"/>
      <c r="D28" s="583"/>
      <c r="E28" s="233" t="s">
        <v>1043</v>
      </c>
      <c r="F28" s="233" t="s">
        <v>1044</v>
      </c>
      <c r="G28" s="585"/>
      <c r="H28" s="570" t="s">
        <v>725</v>
      </c>
      <c r="I28" s="571"/>
      <c r="J28" s="570" t="s">
        <v>1030</v>
      </c>
      <c r="K28" s="571"/>
      <c r="L28" s="569"/>
    </row>
    <row r="29" spans="1:12" ht="15.75" customHeight="1">
      <c r="A29" s="234"/>
      <c r="B29" s="207"/>
      <c r="C29" s="235"/>
      <c r="D29" s="236"/>
      <c r="E29" s="236"/>
      <c r="F29" s="236"/>
      <c r="G29" s="236"/>
      <c r="H29" s="572"/>
      <c r="I29" s="572"/>
      <c r="J29" s="573"/>
      <c r="K29" s="573"/>
      <c r="L29" s="236">
        <f>G29*J29</f>
        <v>0</v>
      </c>
    </row>
    <row r="30" spans="1:12" ht="15.75" customHeight="1" thickBot="1">
      <c r="A30" s="574" t="s">
        <v>1045</v>
      </c>
      <c r="B30" s="575"/>
      <c r="C30" s="576"/>
      <c r="D30" s="576"/>
      <c r="E30" s="576"/>
      <c r="F30" s="576"/>
      <c r="G30" s="576"/>
      <c r="H30" s="576"/>
      <c r="I30" s="576"/>
      <c r="J30" s="576"/>
      <c r="K30" s="576"/>
      <c r="L30" s="227">
        <f>SUM(L29:L29)</f>
        <v>0</v>
      </c>
    </row>
    <row r="31" spans="1:12" ht="15.75" thickBot="1">
      <c r="A31" s="562" t="s">
        <v>1046</v>
      </c>
      <c r="B31" s="563"/>
      <c r="C31" s="563"/>
      <c r="D31" s="563"/>
      <c r="E31" s="563"/>
      <c r="F31" s="563"/>
      <c r="G31" s="563"/>
      <c r="H31" s="563"/>
      <c r="I31" s="563"/>
      <c r="J31" s="563"/>
      <c r="K31" s="564"/>
      <c r="L31" s="228" t="e">
        <f>L17+L23+L26+L30</f>
        <v>#REF!</v>
      </c>
    </row>
    <row r="32" spans="1:12" ht="15.75" thickBot="1">
      <c r="A32" s="565" t="s">
        <v>1047</v>
      </c>
      <c r="B32" s="566"/>
      <c r="C32" s="566"/>
      <c r="D32" s="566"/>
      <c r="E32" s="566"/>
      <c r="F32" s="566"/>
      <c r="G32" s="566"/>
      <c r="H32" s="566"/>
      <c r="I32" s="566"/>
      <c r="J32" s="566"/>
      <c r="K32" s="567"/>
      <c r="L32" s="237" t="e">
        <f>L31</f>
        <v>#REF!</v>
      </c>
    </row>
  </sheetData>
  <mergeCells count="59">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22:I22"/>
    <mergeCell ref="J22:K22"/>
    <mergeCell ref="E18:I18"/>
    <mergeCell ref="J18:K18"/>
    <mergeCell ref="E19:I19"/>
    <mergeCell ref="J19:K19"/>
    <mergeCell ref="E20:I20"/>
    <mergeCell ref="J20:K20"/>
    <mergeCell ref="L27:L28"/>
    <mergeCell ref="H28:I28"/>
    <mergeCell ref="J28:K28"/>
    <mergeCell ref="A30:K30"/>
    <mergeCell ref="A20:B20"/>
    <mergeCell ref="E21:I21"/>
    <mergeCell ref="J21:K21"/>
    <mergeCell ref="A23:K23"/>
    <mergeCell ref="E24:I24"/>
    <mergeCell ref="J24:K24"/>
    <mergeCell ref="E25:I25"/>
    <mergeCell ref="J25:K25"/>
    <mergeCell ref="A26:K26"/>
    <mergeCell ref="A27:A28"/>
    <mergeCell ref="B27:B28"/>
    <mergeCell ref="C27:C28"/>
    <mergeCell ref="H29:I29"/>
    <mergeCell ref="J29:K29"/>
    <mergeCell ref="A31:K31"/>
    <mergeCell ref="A32:K32"/>
    <mergeCell ref="D27:D28"/>
    <mergeCell ref="G27:G28"/>
    <mergeCell ref="H27:K27"/>
  </mergeCells>
  <pageMargins left="0.511811024" right="0.511811024" top="0.78740157499999996" bottom="0.78740157499999996" header="0.31496062000000002" footer="0.3149606200000000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E73F3-37A8-4D45-AA6B-EB74D4490256}">
  <dimension ref="A1:L32"/>
  <sheetViews>
    <sheetView workbookViewId="0">
      <selection activeCell="C10" sqref="C10"/>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1050</v>
      </c>
      <c r="B1" s="195"/>
      <c r="C1" s="195"/>
      <c r="D1" s="195"/>
      <c r="E1" s="195"/>
      <c r="F1" s="196" t="str">
        <f>'[1]PLANILHA '!H7</f>
        <v>DATA BASE DA PLANILHA:</v>
      </c>
      <c r="G1" s="197"/>
      <c r="H1" s="197"/>
      <c r="I1" s="196" t="str">
        <f>'[2]CRONOGRAMA '!E3</f>
        <v>JANEIRO 2025</v>
      </c>
      <c r="K1" s="195"/>
      <c r="L1" s="198"/>
    </row>
    <row r="2" spans="1:12">
      <c r="A2" s="606" t="s">
        <v>1003</v>
      </c>
      <c r="B2" s="607"/>
      <c r="C2" s="199" t="s">
        <v>907</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49</v>
      </c>
    </row>
    <row r="4" spans="1:12" ht="15" customHeight="1">
      <c r="A4" s="578" t="s">
        <v>1005</v>
      </c>
      <c r="B4" s="584" t="s">
        <v>1006</v>
      </c>
      <c r="C4" s="582" t="s">
        <v>1007</v>
      </c>
      <c r="D4" s="582" t="s">
        <v>1008</v>
      </c>
      <c r="E4" s="582" t="s">
        <v>1009</v>
      </c>
      <c r="F4" s="582"/>
      <c r="G4" s="582"/>
      <c r="H4" s="582"/>
      <c r="I4" s="582"/>
      <c r="J4" s="582" t="s">
        <v>1010</v>
      </c>
      <c r="K4" s="582"/>
      <c r="L4" s="614"/>
    </row>
    <row r="5" spans="1:12" ht="15" customHeight="1">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ustomHeight="1">
      <c r="A9" s="218" t="s">
        <v>1005</v>
      </c>
      <c r="B9" s="219" t="s">
        <v>1006</v>
      </c>
      <c r="C9" s="220" t="s">
        <v>1017</v>
      </c>
      <c r="D9" s="220" t="s">
        <v>1018</v>
      </c>
      <c r="E9" s="589" t="s">
        <v>1019</v>
      </c>
      <c r="F9" s="590"/>
      <c r="G9" s="590"/>
      <c r="H9" s="590"/>
      <c r="I9" s="591"/>
      <c r="J9" s="589" t="s">
        <v>1020</v>
      </c>
      <c r="K9" s="591"/>
      <c r="L9" s="221" t="s">
        <v>1021</v>
      </c>
    </row>
    <row r="10" spans="1:12" ht="25.5">
      <c r="A10" s="210">
        <v>88267</v>
      </c>
      <c r="B10" s="222" t="s">
        <v>72</v>
      </c>
      <c r="C10" s="223" t="s">
        <v>1022</v>
      </c>
      <c r="D10" s="210" t="s">
        <v>20</v>
      </c>
      <c r="E10" s="592">
        <v>0.45300000000000001</v>
      </c>
      <c r="F10" s="592"/>
      <c r="G10" s="592"/>
      <c r="H10" s="592"/>
      <c r="I10" s="592"/>
      <c r="J10" s="599">
        <v>29.54</v>
      </c>
      <c r="K10" s="599"/>
      <c r="L10" s="224">
        <f>ROUND(J10*E10,2)</f>
        <v>13.38</v>
      </c>
    </row>
    <row r="11" spans="1:12" ht="25.5">
      <c r="A11" s="210">
        <v>88248</v>
      </c>
      <c r="B11" s="222" t="s">
        <v>72</v>
      </c>
      <c r="C11" s="223" t="s">
        <v>1023</v>
      </c>
      <c r="D11" s="210" t="s">
        <v>20</v>
      </c>
      <c r="E11" s="592">
        <v>0.45300000000000001</v>
      </c>
      <c r="F11" s="592"/>
      <c r="G11" s="592"/>
      <c r="H11" s="592"/>
      <c r="I11" s="592"/>
      <c r="J11" s="600">
        <v>25.3</v>
      </c>
      <c r="K11" s="600"/>
      <c r="L11" s="224">
        <f>ROUND(J11*E11,2)</f>
        <v>11.46</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24.84</v>
      </c>
    </row>
    <row r="15" spans="1:12" ht="15.75" customHeight="1" thickBot="1">
      <c r="A15" s="596" t="s">
        <v>1025</v>
      </c>
      <c r="B15" s="597"/>
      <c r="C15" s="597"/>
      <c r="D15" s="597"/>
      <c r="E15" s="597"/>
      <c r="F15" s="597"/>
      <c r="G15" s="597"/>
      <c r="H15" s="597"/>
      <c r="I15" s="597"/>
      <c r="J15" s="597"/>
      <c r="K15" s="598"/>
      <c r="L15" s="228">
        <f>L14*0.05</f>
        <v>1.24</v>
      </c>
    </row>
    <row r="16" spans="1:12" ht="15.75" thickBot="1">
      <c r="A16" s="574" t="s">
        <v>1026</v>
      </c>
      <c r="B16" s="575"/>
      <c r="C16" s="576"/>
      <c r="D16" s="576"/>
      <c r="E16" s="576"/>
      <c r="F16" s="576"/>
      <c r="G16" s="576"/>
      <c r="H16" s="576"/>
      <c r="I16" s="576"/>
      <c r="J16" s="576"/>
      <c r="K16" s="576"/>
      <c r="L16" s="229">
        <v>1</v>
      </c>
    </row>
    <row r="17" spans="1:12" ht="15.75" customHeight="1" thickBot="1">
      <c r="A17" s="596" t="s">
        <v>1027</v>
      </c>
      <c r="B17" s="597"/>
      <c r="C17" s="597"/>
      <c r="D17" s="597"/>
      <c r="E17" s="597"/>
      <c r="F17" s="597"/>
      <c r="G17" s="597"/>
      <c r="H17" s="597"/>
      <c r="I17" s="597"/>
      <c r="J17" s="597"/>
      <c r="K17" s="598"/>
      <c r="L17" s="228">
        <f>ROUND((L8+L14+L15)/L16,2)</f>
        <v>26.08</v>
      </c>
    </row>
    <row r="18" spans="1:12" ht="15" customHeight="1">
      <c r="A18" s="218" t="s">
        <v>1005</v>
      </c>
      <c r="B18" s="219" t="s">
        <v>1006</v>
      </c>
      <c r="C18" s="220" t="s">
        <v>1028</v>
      </c>
      <c r="D18" s="220" t="s">
        <v>1018</v>
      </c>
      <c r="E18" s="589" t="s">
        <v>1029</v>
      </c>
      <c r="F18" s="590"/>
      <c r="G18" s="590"/>
      <c r="H18" s="590"/>
      <c r="I18" s="591"/>
      <c r="J18" s="589" t="s">
        <v>1030</v>
      </c>
      <c r="K18" s="591"/>
      <c r="L18" s="221" t="s">
        <v>1031</v>
      </c>
    </row>
    <row r="19" spans="1:12">
      <c r="A19" s="594" t="s">
        <v>1049</v>
      </c>
      <c r="B19" s="595"/>
      <c r="C19" s="231" t="e">
        <f>[2]MERC.05!C2</f>
        <v>#REF!</v>
      </c>
      <c r="D19" s="210" t="s">
        <v>49</v>
      </c>
      <c r="E19" s="592">
        <f>1/6</f>
        <v>0.16669999999999999</v>
      </c>
      <c r="F19" s="592"/>
      <c r="G19" s="592"/>
      <c r="H19" s="592"/>
      <c r="I19" s="592"/>
      <c r="J19" s="593" t="e">
        <f>[2]MERC.05!H10</f>
        <v>#REF!</v>
      </c>
      <c r="K19" s="593"/>
      <c r="L19" s="224" t="e">
        <f>E19*J19</f>
        <v>#REF!</v>
      </c>
    </row>
    <row r="20" spans="1:12">
      <c r="A20" s="210">
        <v>38383</v>
      </c>
      <c r="B20" s="207" t="s">
        <v>72</v>
      </c>
      <c r="C20" s="223" t="s">
        <v>1035</v>
      </c>
      <c r="D20" s="210" t="s">
        <v>49</v>
      </c>
      <c r="E20" s="601">
        <v>0.1056</v>
      </c>
      <c r="F20" s="601"/>
      <c r="G20" s="601"/>
      <c r="H20" s="601"/>
      <c r="I20" s="601"/>
      <c r="J20" s="593">
        <v>2.44</v>
      </c>
      <c r="K20" s="593"/>
      <c r="L20" s="224">
        <f>E20*J20</f>
        <v>0.26</v>
      </c>
    </row>
    <row r="21" spans="1:12">
      <c r="A21" s="574" t="s">
        <v>1036</v>
      </c>
      <c r="B21" s="575"/>
      <c r="C21" s="576"/>
      <c r="D21" s="576"/>
      <c r="E21" s="576"/>
      <c r="F21" s="576"/>
      <c r="G21" s="576"/>
      <c r="H21" s="576"/>
      <c r="I21" s="576"/>
      <c r="J21" s="576"/>
      <c r="K21" s="576"/>
      <c r="L21" s="227" t="e">
        <f>SUM(L19:L20)</f>
        <v>#REF!</v>
      </c>
    </row>
    <row r="22" spans="1:12">
      <c r="A22" s="218" t="s">
        <v>1005</v>
      </c>
      <c r="B22" s="219" t="s">
        <v>1006</v>
      </c>
      <c r="C22" s="220" t="s">
        <v>1037</v>
      </c>
      <c r="D22" s="220" t="s">
        <v>1018</v>
      </c>
      <c r="E22" s="589" t="s">
        <v>1029</v>
      </c>
      <c r="F22" s="590"/>
      <c r="G22" s="590"/>
      <c r="H22" s="590"/>
      <c r="I22" s="591"/>
      <c r="J22" s="589" t="s">
        <v>1030</v>
      </c>
      <c r="K22" s="591"/>
      <c r="L22" s="221" t="s">
        <v>1031</v>
      </c>
    </row>
    <row r="23" spans="1:12">
      <c r="A23" s="210"/>
      <c r="B23" s="207"/>
      <c r="C23" s="223"/>
      <c r="D23" s="210"/>
      <c r="E23" s="577"/>
      <c r="F23" s="577"/>
      <c r="G23" s="577"/>
      <c r="H23" s="577"/>
      <c r="I23" s="577"/>
      <c r="J23" s="577"/>
      <c r="K23" s="577"/>
      <c r="L23" s="232">
        <f>J23*E23</f>
        <v>0</v>
      </c>
    </row>
    <row r="24" spans="1:12" ht="15" customHeight="1" thickBot="1">
      <c r="A24" s="574" t="s">
        <v>1038</v>
      </c>
      <c r="B24" s="575"/>
      <c r="C24" s="576"/>
      <c r="D24" s="576"/>
      <c r="E24" s="576"/>
      <c r="F24" s="576"/>
      <c r="G24" s="576"/>
      <c r="H24" s="576"/>
      <c r="I24" s="576"/>
      <c r="J24" s="576"/>
      <c r="K24" s="576"/>
      <c r="L24" s="227">
        <f>SUM(L23:L23)</f>
        <v>0</v>
      </c>
    </row>
    <row r="25" spans="1:12" ht="25.5">
      <c r="A25" s="578" t="s">
        <v>1005</v>
      </c>
      <c r="B25" s="580" t="s">
        <v>1006</v>
      </c>
      <c r="C25" s="582" t="s">
        <v>1039</v>
      </c>
      <c r="D25" s="582" t="s">
        <v>1018</v>
      </c>
      <c r="E25" s="233" t="s">
        <v>1040</v>
      </c>
      <c r="F25" s="233" t="s">
        <v>1040</v>
      </c>
      <c r="G25" s="584" t="s">
        <v>1041</v>
      </c>
      <c r="H25" s="586" t="s">
        <v>1042</v>
      </c>
      <c r="I25" s="587"/>
      <c r="J25" s="587"/>
      <c r="K25" s="588"/>
      <c r="L25" s="568" t="s">
        <v>1031</v>
      </c>
    </row>
    <row r="26" spans="1:12">
      <c r="A26" s="579"/>
      <c r="B26" s="581"/>
      <c r="C26" s="583"/>
      <c r="D26" s="583"/>
      <c r="E26" s="233" t="s">
        <v>1043</v>
      </c>
      <c r="F26" s="233" t="s">
        <v>1044</v>
      </c>
      <c r="G26" s="585"/>
      <c r="H26" s="570" t="s">
        <v>725</v>
      </c>
      <c r="I26" s="571"/>
      <c r="J26" s="570" t="s">
        <v>1030</v>
      </c>
      <c r="K26" s="571"/>
      <c r="L26" s="569"/>
    </row>
    <row r="27" spans="1:12">
      <c r="A27" s="234"/>
      <c r="B27" s="207"/>
      <c r="C27" s="235"/>
      <c r="D27" s="236"/>
      <c r="E27" s="236"/>
      <c r="F27" s="236"/>
      <c r="G27" s="236"/>
      <c r="H27" s="572"/>
      <c r="I27" s="572"/>
      <c r="J27" s="573"/>
      <c r="K27" s="573"/>
      <c r="L27" s="236">
        <f>G27*J27</f>
        <v>0</v>
      </c>
    </row>
    <row r="28" spans="1:12" ht="15" customHeight="1" thickBot="1">
      <c r="A28" s="574" t="s">
        <v>1045</v>
      </c>
      <c r="B28" s="575"/>
      <c r="C28" s="576"/>
      <c r="D28" s="576"/>
      <c r="E28" s="576"/>
      <c r="F28" s="576"/>
      <c r="G28" s="576"/>
      <c r="H28" s="576"/>
      <c r="I28" s="576"/>
      <c r="J28" s="576"/>
      <c r="K28" s="576"/>
      <c r="L28" s="227">
        <f>SUM(L27:L27)</f>
        <v>0</v>
      </c>
    </row>
    <row r="29" spans="1:12" ht="15.75" thickBot="1">
      <c r="A29" s="562" t="s">
        <v>1046</v>
      </c>
      <c r="B29" s="563"/>
      <c r="C29" s="563"/>
      <c r="D29" s="563"/>
      <c r="E29" s="563"/>
      <c r="F29" s="563"/>
      <c r="G29" s="563"/>
      <c r="H29" s="563"/>
      <c r="I29" s="563"/>
      <c r="J29" s="563"/>
      <c r="K29" s="564"/>
      <c r="L29" s="228" t="e">
        <f>L17+L21+L24+L28</f>
        <v>#REF!</v>
      </c>
    </row>
    <row r="30" spans="1:12" ht="15.75" thickBot="1">
      <c r="A30" s="565" t="s">
        <v>1047</v>
      </c>
      <c r="B30" s="566"/>
      <c r="C30" s="566"/>
      <c r="D30" s="566"/>
      <c r="E30" s="566"/>
      <c r="F30" s="566"/>
      <c r="G30" s="566"/>
      <c r="H30" s="566"/>
      <c r="I30" s="566"/>
      <c r="J30" s="566"/>
      <c r="K30" s="567"/>
      <c r="L30" s="237" t="e">
        <f>L29</f>
        <v>#REF!</v>
      </c>
    </row>
    <row r="31" spans="1:12" ht="15.75" customHeight="1" thickTop="1"/>
    <row r="32" spans="1:12" ht="15.75" customHeight="1"/>
  </sheetData>
  <mergeCells count="55">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18:I18"/>
    <mergeCell ref="J18:K18"/>
    <mergeCell ref="E19:I19"/>
    <mergeCell ref="J19:K19"/>
    <mergeCell ref="E20:I20"/>
    <mergeCell ref="J20:K20"/>
    <mergeCell ref="A30:K30"/>
    <mergeCell ref="A28:K28"/>
    <mergeCell ref="A29:K29"/>
    <mergeCell ref="D25:D26"/>
    <mergeCell ref="E22:I22"/>
    <mergeCell ref="J22:K22"/>
    <mergeCell ref="H27:I27"/>
    <mergeCell ref="J27:K27"/>
    <mergeCell ref="A25:A26"/>
    <mergeCell ref="B25:B26"/>
    <mergeCell ref="C25:C26"/>
    <mergeCell ref="G25:G26"/>
    <mergeCell ref="H25:K25"/>
    <mergeCell ref="L25:L26"/>
    <mergeCell ref="H26:I26"/>
    <mergeCell ref="J26:K26"/>
    <mergeCell ref="A19:B19"/>
    <mergeCell ref="A21:K21"/>
    <mergeCell ref="E23:I23"/>
    <mergeCell ref="J23:K23"/>
    <mergeCell ref="A24:K24"/>
  </mergeCells>
  <pageMargins left="0.511811024" right="0.511811024" top="0.78740157499999996" bottom="0.78740157499999996" header="0.31496062000000002" footer="0.3149606200000000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5DFF7-7EA3-47E6-AB40-A81D02EC320A}">
  <dimension ref="A1:L32"/>
  <sheetViews>
    <sheetView workbookViewId="0">
      <selection activeCell="E9" sqref="E9:I9"/>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1053</v>
      </c>
      <c r="B1" s="195"/>
      <c r="C1" s="195"/>
      <c r="D1" s="195"/>
      <c r="E1" s="195"/>
      <c r="F1" s="196" t="str">
        <f>'[1]PLANILHA '!H7</f>
        <v>DATA BASE DA PLANILHA:</v>
      </c>
      <c r="G1" s="197"/>
      <c r="H1" s="197"/>
      <c r="I1" s="196" t="str">
        <f>'[2]CRONOGRAMA '!E3</f>
        <v>JANEIRO 2025</v>
      </c>
      <c r="K1" s="195"/>
      <c r="L1" s="198"/>
    </row>
    <row r="2" spans="1:12">
      <c r="A2" s="606" t="s">
        <v>1003</v>
      </c>
      <c r="B2" s="607"/>
      <c r="C2" s="199" t="s">
        <v>908</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c r="A4" s="578" t="s">
        <v>1005</v>
      </c>
      <c r="B4" s="584" t="s">
        <v>1006</v>
      </c>
      <c r="C4" s="582" t="s">
        <v>1007</v>
      </c>
      <c r="D4" s="582" t="s">
        <v>1008</v>
      </c>
      <c r="E4" s="582" t="s">
        <v>1009</v>
      </c>
      <c r="F4" s="582"/>
      <c r="G4" s="582"/>
      <c r="H4" s="582"/>
      <c r="I4" s="582"/>
      <c r="J4" s="582" t="s">
        <v>1010</v>
      </c>
      <c r="K4" s="582"/>
      <c r="L4" s="614"/>
    </row>
    <row r="5" spans="1:12">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 r="A9" s="218" t="s">
        <v>1005</v>
      </c>
      <c r="B9" s="219" t="s">
        <v>1006</v>
      </c>
      <c r="C9" s="220" t="s">
        <v>1017</v>
      </c>
      <c r="D9" s="220" t="s">
        <v>1018</v>
      </c>
      <c r="E9" s="589" t="s">
        <v>1019</v>
      </c>
      <c r="F9" s="590"/>
      <c r="G9" s="590"/>
      <c r="H9" s="590"/>
      <c r="I9" s="591"/>
      <c r="J9" s="589" t="s">
        <v>1020</v>
      </c>
      <c r="K9" s="591"/>
      <c r="L9" s="221" t="s">
        <v>1021</v>
      </c>
    </row>
    <row r="10" spans="1:12" ht="25.5">
      <c r="A10" s="210">
        <v>88267</v>
      </c>
      <c r="B10" s="222" t="s">
        <v>72</v>
      </c>
      <c r="C10" s="223" t="s">
        <v>1022</v>
      </c>
      <c r="D10" s="210" t="s">
        <v>20</v>
      </c>
      <c r="E10" s="592">
        <v>0.3</v>
      </c>
      <c r="F10" s="592"/>
      <c r="G10" s="592"/>
      <c r="H10" s="592"/>
      <c r="I10" s="592"/>
      <c r="J10" s="599">
        <v>29.54</v>
      </c>
      <c r="K10" s="599"/>
      <c r="L10" s="224">
        <f>ROUND(J10*E10,2)</f>
        <v>8.86</v>
      </c>
    </row>
    <row r="11" spans="1:12" ht="25.5">
      <c r="A11" s="210">
        <v>88248</v>
      </c>
      <c r="B11" s="222" t="s">
        <v>72</v>
      </c>
      <c r="C11" s="223" t="s">
        <v>1023</v>
      </c>
      <c r="D11" s="210" t="s">
        <v>20</v>
      </c>
      <c r="E11" s="592">
        <v>0.3</v>
      </c>
      <c r="F11" s="592"/>
      <c r="G11" s="592"/>
      <c r="H11" s="592"/>
      <c r="I11" s="592"/>
      <c r="J11" s="600">
        <v>25.3</v>
      </c>
      <c r="K11" s="600"/>
      <c r="L11" s="224">
        <f>ROUND(J11*E11,2)</f>
        <v>7.59</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16.45</v>
      </c>
    </row>
    <row r="15" spans="1:12" ht="15.75" thickBot="1">
      <c r="A15" s="596" t="s">
        <v>1025</v>
      </c>
      <c r="B15" s="597"/>
      <c r="C15" s="597"/>
      <c r="D15" s="597"/>
      <c r="E15" s="597"/>
      <c r="F15" s="597"/>
      <c r="G15" s="597"/>
      <c r="H15" s="597"/>
      <c r="I15" s="597"/>
      <c r="J15" s="597"/>
      <c r="K15" s="598"/>
      <c r="L15" s="228">
        <f>L14*0.05</f>
        <v>0.82</v>
      </c>
    </row>
    <row r="16" spans="1:12" ht="15.75" thickBot="1">
      <c r="A16" s="574" t="s">
        <v>1026</v>
      </c>
      <c r="B16" s="575"/>
      <c r="C16" s="576"/>
      <c r="D16" s="576"/>
      <c r="E16" s="576"/>
      <c r="F16" s="576"/>
      <c r="G16" s="576"/>
      <c r="H16" s="576"/>
      <c r="I16" s="576"/>
      <c r="J16" s="576"/>
      <c r="K16" s="576"/>
      <c r="L16" s="229">
        <v>1</v>
      </c>
    </row>
    <row r="17" spans="1:12" ht="15.75" thickBot="1">
      <c r="A17" s="596" t="s">
        <v>1027</v>
      </c>
      <c r="B17" s="597"/>
      <c r="C17" s="597"/>
      <c r="D17" s="597"/>
      <c r="E17" s="597"/>
      <c r="F17" s="597"/>
      <c r="G17" s="597"/>
      <c r="H17" s="597"/>
      <c r="I17" s="597"/>
      <c r="J17" s="597"/>
      <c r="K17" s="598"/>
      <c r="L17" s="228">
        <f>ROUND((L8+L14+L15)/L16,2)</f>
        <v>17.27</v>
      </c>
    </row>
    <row r="18" spans="1:12">
      <c r="A18" s="218" t="s">
        <v>1005</v>
      </c>
      <c r="B18" s="219" t="s">
        <v>1006</v>
      </c>
      <c r="C18" s="220" t="s">
        <v>1028</v>
      </c>
      <c r="D18" s="220" t="s">
        <v>1018</v>
      </c>
      <c r="E18" s="589" t="s">
        <v>1029</v>
      </c>
      <c r="F18" s="590"/>
      <c r="G18" s="590"/>
      <c r="H18" s="590"/>
      <c r="I18" s="591"/>
      <c r="J18" s="589" t="s">
        <v>1030</v>
      </c>
      <c r="K18" s="591"/>
      <c r="L18" s="221" t="s">
        <v>1031</v>
      </c>
    </row>
    <row r="19" spans="1:12">
      <c r="A19" s="230">
        <v>122</v>
      </c>
      <c r="B19" s="207" t="s">
        <v>72</v>
      </c>
      <c r="C19" s="223" t="s">
        <v>1032</v>
      </c>
      <c r="D19" s="210" t="s">
        <v>340</v>
      </c>
      <c r="E19" s="592">
        <v>3.5299999999999998E-2</v>
      </c>
      <c r="F19" s="592"/>
      <c r="G19" s="592"/>
      <c r="H19" s="592"/>
      <c r="I19" s="592"/>
      <c r="J19" s="593">
        <v>66.86</v>
      </c>
      <c r="K19" s="593"/>
      <c r="L19" s="224">
        <f>E19*J19</f>
        <v>2.36</v>
      </c>
    </row>
    <row r="20" spans="1:12">
      <c r="A20" s="594" t="s">
        <v>1051</v>
      </c>
      <c r="B20" s="595"/>
      <c r="C20" s="231" t="e">
        <f>[2]MERC.06!C2</f>
        <v>#REF!</v>
      </c>
      <c r="D20" s="210" t="s">
        <v>340</v>
      </c>
      <c r="E20" s="577">
        <v>1</v>
      </c>
      <c r="F20" s="577"/>
      <c r="G20" s="577"/>
      <c r="H20" s="577"/>
      <c r="I20" s="577"/>
      <c r="J20" s="593" t="e">
        <f>[2]MERC.06!H10</f>
        <v>#REF!</v>
      </c>
      <c r="K20" s="593"/>
      <c r="L20" s="224" t="e">
        <f>E20*J20</f>
        <v>#REF!</v>
      </c>
    </row>
    <row r="21" spans="1:12" ht="25.5">
      <c r="A21" s="210">
        <v>20083</v>
      </c>
      <c r="B21" s="207" t="s">
        <v>72</v>
      </c>
      <c r="C21" s="223" t="s">
        <v>1034</v>
      </c>
      <c r="D21" s="210" t="s">
        <v>340</v>
      </c>
      <c r="E21" s="577">
        <v>0.06</v>
      </c>
      <c r="F21" s="577"/>
      <c r="G21" s="577"/>
      <c r="H21" s="577"/>
      <c r="I21" s="577"/>
      <c r="J21" s="593">
        <v>78.02</v>
      </c>
      <c r="K21" s="593"/>
      <c r="L21" s="224">
        <f>E21*J21</f>
        <v>4.68</v>
      </c>
    </row>
    <row r="22" spans="1:12">
      <c r="A22" s="210">
        <v>38383</v>
      </c>
      <c r="B22" s="207" t="s">
        <v>72</v>
      </c>
      <c r="C22" s="223" t="s">
        <v>1035</v>
      </c>
      <c r="D22" s="210" t="s">
        <v>49</v>
      </c>
      <c r="E22" s="577">
        <v>0.03</v>
      </c>
      <c r="F22" s="577"/>
      <c r="G22" s="577"/>
      <c r="H22" s="577"/>
      <c r="I22" s="577"/>
      <c r="J22" s="593">
        <v>2.44</v>
      </c>
      <c r="K22" s="593"/>
      <c r="L22" s="224">
        <f>E22*J22</f>
        <v>7.0000000000000007E-2</v>
      </c>
    </row>
    <row r="23" spans="1:12">
      <c r="A23" s="574" t="s">
        <v>1036</v>
      </c>
      <c r="B23" s="575"/>
      <c r="C23" s="576"/>
      <c r="D23" s="576"/>
      <c r="E23" s="576"/>
      <c r="F23" s="576"/>
      <c r="G23" s="576"/>
      <c r="H23" s="576"/>
      <c r="I23" s="576"/>
      <c r="J23" s="576"/>
      <c r="K23" s="576"/>
      <c r="L23" s="227" t="e">
        <f>SUM(L19:L22)</f>
        <v>#REF!</v>
      </c>
    </row>
    <row r="24" spans="1:12">
      <c r="A24" s="218" t="s">
        <v>1005</v>
      </c>
      <c r="B24" s="219" t="s">
        <v>1006</v>
      </c>
      <c r="C24" s="220" t="s">
        <v>1037</v>
      </c>
      <c r="D24" s="220" t="s">
        <v>1018</v>
      </c>
      <c r="E24" s="589" t="s">
        <v>1029</v>
      </c>
      <c r="F24" s="590"/>
      <c r="G24" s="590"/>
      <c r="H24" s="590"/>
      <c r="I24" s="591"/>
      <c r="J24" s="589" t="s">
        <v>1030</v>
      </c>
      <c r="K24" s="591"/>
      <c r="L24" s="221" t="s">
        <v>1031</v>
      </c>
    </row>
    <row r="25" spans="1:12">
      <c r="A25" s="210"/>
      <c r="B25" s="207"/>
      <c r="C25" s="223"/>
      <c r="D25" s="210"/>
      <c r="E25" s="577"/>
      <c r="F25" s="577"/>
      <c r="G25" s="577"/>
      <c r="H25" s="577"/>
      <c r="I25" s="577"/>
      <c r="J25" s="577"/>
      <c r="K25" s="577"/>
      <c r="L25" s="232">
        <f>J25*E25</f>
        <v>0</v>
      </c>
    </row>
    <row r="26" spans="1:12" ht="15.75" thickBot="1">
      <c r="A26" s="574" t="s">
        <v>1038</v>
      </c>
      <c r="B26" s="575"/>
      <c r="C26" s="576"/>
      <c r="D26" s="576"/>
      <c r="E26" s="576"/>
      <c r="F26" s="576"/>
      <c r="G26" s="576"/>
      <c r="H26" s="576"/>
      <c r="I26" s="576"/>
      <c r="J26" s="576"/>
      <c r="K26" s="576"/>
      <c r="L26" s="227">
        <f>SUM(L25:L25)</f>
        <v>0</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c r="A28" s="579"/>
      <c r="B28" s="581"/>
      <c r="C28" s="583"/>
      <c r="D28" s="583"/>
      <c r="E28" s="233" t="s">
        <v>1043</v>
      </c>
      <c r="F28" s="233" t="s">
        <v>1044</v>
      </c>
      <c r="G28" s="585"/>
      <c r="H28" s="570" t="s">
        <v>725</v>
      </c>
      <c r="I28" s="571"/>
      <c r="J28" s="570" t="s">
        <v>1030</v>
      </c>
      <c r="K28" s="571"/>
      <c r="L28" s="569"/>
    </row>
    <row r="29" spans="1:12">
      <c r="A29" s="234"/>
      <c r="B29" s="207"/>
      <c r="C29" s="235"/>
      <c r="D29" s="236"/>
      <c r="E29" s="236"/>
      <c r="F29" s="236"/>
      <c r="G29" s="236"/>
      <c r="H29" s="572"/>
      <c r="I29" s="572"/>
      <c r="J29" s="573"/>
      <c r="K29" s="573"/>
      <c r="L29" s="236">
        <f>G29*J29</f>
        <v>0</v>
      </c>
    </row>
    <row r="30" spans="1:12" ht="15.75" thickBot="1">
      <c r="A30" s="574" t="s">
        <v>1045</v>
      </c>
      <c r="B30" s="575"/>
      <c r="C30" s="576"/>
      <c r="D30" s="576"/>
      <c r="E30" s="576"/>
      <c r="F30" s="576"/>
      <c r="G30" s="576"/>
      <c r="H30" s="576"/>
      <c r="I30" s="576"/>
      <c r="J30" s="576"/>
      <c r="K30" s="576"/>
      <c r="L30" s="227">
        <f>SUM(L29:L29)</f>
        <v>0</v>
      </c>
    </row>
    <row r="31" spans="1:12" ht="15.75" thickBot="1">
      <c r="A31" s="562" t="s">
        <v>1046</v>
      </c>
      <c r="B31" s="563"/>
      <c r="C31" s="563"/>
      <c r="D31" s="563"/>
      <c r="E31" s="563"/>
      <c r="F31" s="563"/>
      <c r="G31" s="563"/>
      <c r="H31" s="563"/>
      <c r="I31" s="563"/>
      <c r="J31" s="563"/>
      <c r="K31" s="564"/>
      <c r="L31" s="228" t="e">
        <f>L17+L23+L26+L30</f>
        <v>#REF!</v>
      </c>
    </row>
    <row r="32" spans="1:12" ht="15.75" thickBot="1">
      <c r="A32" s="565" t="s">
        <v>1047</v>
      </c>
      <c r="B32" s="566"/>
      <c r="C32" s="566"/>
      <c r="D32" s="566"/>
      <c r="E32" s="566"/>
      <c r="F32" s="566"/>
      <c r="G32" s="566"/>
      <c r="H32" s="566"/>
      <c r="I32" s="566"/>
      <c r="J32" s="566"/>
      <c r="K32" s="567"/>
      <c r="L32" s="237" t="e">
        <f>L31</f>
        <v>#REF!</v>
      </c>
    </row>
  </sheetData>
  <mergeCells count="59">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24:I24"/>
    <mergeCell ref="J24:K24"/>
    <mergeCell ref="E18:I18"/>
    <mergeCell ref="J18:K18"/>
    <mergeCell ref="E19:I19"/>
    <mergeCell ref="J19:K19"/>
    <mergeCell ref="E21:I21"/>
    <mergeCell ref="J21:K21"/>
    <mergeCell ref="E22:I22"/>
    <mergeCell ref="J22:K22"/>
    <mergeCell ref="A23:K23"/>
    <mergeCell ref="A20:B20"/>
    <mergeCell ref="E20:I20"/>
    <mergeCell ref="J20:K20"/>
    <mergeCell ref="E25:I25"/>
    <mergeCell ref="J25:K25"/>
    <mergeCell ref="A26:K26"/>
    <mergeCell ref="A27:A28"/>
    <mergeCell ref="B27:B28"/>
    <mergeCell ref="C27:C28"/>
    <mergeCell ref="D27:D28"/>
    <mergeCell ref="G27:G28"/>
    <mergeCell ref="H27:K27"/>
    <mergeCell ref="A31:K31"/>
    <mergeCell ref="A32:K32"/>
    <mergeCell ref="L27:L28"/>
    <mergeCell ref="H28:I28"/>
    <mergeCell ref="J28:K28"/>
    <mergeCell ref="H29:I29"/>
    <mergeCell ref="J29:K29"/>
    <mergeCell ref="A30:K30"/>
  </mergeCells>
  <pageMargins left="0.511811024" right="0.511811024" top="0.78740157499999996" bottom="0.78740157499999996" header="0.31496062000000002" footer="0.3149606200000000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8EBB4-8716-46B1-989B-EADC06924668}">
  <dimension ref="A1:L32"/>
  <sheetViews>
    <sheetView workbookViewId="0"/>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1055</v>
      </c>
      <c r="B1" s="195"/>
      <c r="C1" s="195"/>
      <c r="D1" s="195"/>
      <c r="E1" s="195"/>
      <c r="F1" s="196" t="str">
        <f>'[1]PLANILHA '!H7</f>
        <v>DATA BASE DA PLANILHA:</v>
      </c>
      <c r="G1" s="197"/>
      <c r="H1" s="197"/>
      <c r="I1" s="196" t="str">
        <f>'[2]CRONOGRAMA '!E3</f>
        <v>JANEIRO 2025</v>
      </c>
      <c r="K1" s="195"/>
      <c r="L1" s="198"/>
    </row>
    <row r="2" spans="1:12">
      <c r="A2" s="606" t="s">
        <v>1003</v>
      </c>
      <c r="B2" s="607"/>
      <c r="C2" s="199" t="s">
        <v>911</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c r="A4" s="578" t="s">
        <v>1005</v>
      </c>
      <c r="B4" s="584" t="s">
        <v>1006</v>
      </c>
      <c r="C4" s="582" t="s">
        <v>1007</v>
      </c>
      <c r="D4" s="582" t="s">
        <v>1008</v>
      </c>
      <c r="E4" s="582" t="s">
        <v>1009</v>
      </c>
      <c r="F4" s="582"/>
      <c r="G4" s="582"/>
      <c r="H4" s="582"/>
      <c r="I4" s="582"/>
      <c r="J4" s="582" t="s">
        <v>1010</v>
      </c>
      <c r="K4" s="582"/>
      <c r="L4" s="614"/>
    </row>
    <row r="5" spans="1:12">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 r="A9" s="218" t="s">
        <v>1005</v>
      </c>
      <c r="B9" s="219" t="s">
        <v>1006</v>
      </c>
      <c r="C9" s="220" t="s">
        <v>1017</v>
      </c>
      <c r="D9" s="220" t="s">
        <v>1018</v>
      </c>
      <c r="E9" s="589" t="s">
        <v>1019</v>
      </c>
      <c r="F9" s="590"/>
      <c r="G9" s="590"/>
      <c r="H9" s="590"/>
      <c r="I9" s="591"/>
      <c r="J9" s="589" t="s">
        <v>1020</v>
      </c>
      <c r="K9" s="591"/>
      <c r="L9" s="221" t="s">
        <v>1021</v>
      </c>
    </row>
    <row r="10" spans="1:12" ht="25.5">
      <c r="A10" s="210">
        <v>88267</v>
      </c>
      <c r="B10" s="222" t="s">
        <v>72</v>
      </c>
      <c r="C10" s="223" t="s">
        <v>1022</v>
      </c>
      <c r="D10" s="210" t="s">
        <v>20</v>
      </c>
      <c r="E10" s="592">
        <v>0.3</v>
      </c>
      <c r="F10" s="592"/>
      <c r="G10" s="592"/>
      <c r="H10" s="592"/>
      <c r="I10" s="592"/>
      <c r="J10" s="599">
        <v>29.54</v>
      </c>
      <c r="K10" s="599"/>
      <c r="L10" s="224">
        <f>ROUND(J10*E10,2)</f>
        <v>8.86</v>
      </c>
    </row>
    <row r="11" spans="1:12" ht="25.5">
      <c r="A11" s="210">
        <v>88248</v>
      </c>
      <c r="B11" s="222" t="s">
        <v>72</v>
      </c>
      <c r="C11" s="223" t="s">
        <v>1023</v>
      </c>
      <c r="D11" s="210" t="s">
        <v>20</v>
      </c>
      <c r="E11" s="592">
        <v>0.3</v>
      </c>
      <c r="F11" s="592"/>
      <c r="G11" s="592"/>
      <c r="H11" s="592"/>
      <c r="I11" s="592"/>
      <c r="J11" s="600">
        <v>25.3</v>
      </c>
      <c r="K11" s="600"/>
      <c r="L11" s="224">
        <f>ROUND(J11*E11,2)</f>
        <v>7.59</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16.45</v>
      </c>
    </row>
    <row r="15" spans="1:12" ht="15.75" thickBot="1">
      <c r="A15" s="596" t="s">
        <v>1025</v>
      </c>
      <c r="B15" s="597"/>
      <c r="C15" s="597"/>
      <c r="D15" s="597"/>
      <c r="E15" s="597"/>
      <c r="F15" s="597"/>
      <c r="G15" s="597"/>
      <c r="H15" s="597"/>
      <c r="I15" s="597"/>
      <c r="J15" s="597"/>
      <c r="K15" s="598"/>
      <c r="L15" s="228">
        <f>L14*0.05</f>
        <v>0.82</v>
      </c>
    </row>
    <row r="16" spans="1:12" ht="15.75" thickBot="1">
      <c r="A16" s="574" t="s">
        <v>1026</v>
      </c>
      <c r="B16" s="575"/>
      <c r="C16" s="576"/>
      <c r="D16" s="576"/>
      <c r="E16" s="576"/>
      <c r="F16" s="576"/>
      <c r="G16" s="576"/>
      <c r="H16" s="576"/>
      <c r="I16" s="576"/>
      <c r="J16" s="576"/>
      <c r="K16" s="576"/>
      <c r="L16" s="229">
        <v>1</v>
      </c>
    </row>
    <row r="17" spans="1:12" ht="15.75" thickBot="1">
      <c r="A17" s="596" t="s">
        <v>1027</v>
      </c>
      <c r="B17" s="597"/>
      <c r="C17" s="597"/>
      <c r="D17" s="597"/>
      <c r="E17" s="597"/>
      <c r="F17" s="597"/>
      <c r="G17" s="597"/>
      <c r="H17" s="597"/>
      <c r="I17" s="597"/>
      <c r="J17" s="597"/>
      <c r="K17" s="598"/>
      <c r="L17" s="228">
        <f>ROUND((L8+L14+L15)/L16,2)</f>
        <v>17.27</v>
      </c>
    </row>
    <row r="18" spans="1:12">
      <c r="A18" s="218" t="s">
        <v>1005</v>
      </c>
      <c r="B18" s="219" t="s">
        <v>1006</v>
      </c>
      <c r="C18" s="220" t="s">
        <v>1028</v>
      </c>
      <c r="D18" s="220" t="s">
        <v>1018</v>
      </c>
      <c r="E18" s="589" t="s">
        <v>1029</v>
      </c>
      <c r="F18" s="590"/>
      <c r="G18" s="590"/>
      <c r="H18" s="590"/>
      <c r="I18" s="591"/>
      <c r="J18" s="589" t="s">
        <v>1030</v>
      </c>
      <c r="K18" s="591"/>
      <c r="L18" s="221" t="s">
        <v>1031</v>
      </c>
    </row>
    <row r="19" spans="1:12">
      <c r="A19" s="230">
        <v>122</v>
      </c>
      <c r="B19" s="207" t="s">
        <v>72</v>
      </c>
      <c r="C19" s="223" t="s">
        <v>1032</v>
      </c>
      <c r="D19" s="210" t="s">
        <v>340</v>
      </c>
      <c r="E19" s="592">
        <v>3.5299999999999998E-2</v>
      </c>
      <c r="F19" s="592"/>
      <c r="G19" s="592"/>
      <c r="H19" s="592"/>
      <c r="I19" s="592"/>
      <c r="J19" s="593">
        <v>66.86</v>
      </c>
      <c r="K19" s="593"/>
      <c r="L19" s="224">
        <f>E19*J19</f>
        <v>2.36</v>
      </c>
    </row>
    <row r="20" spans="1:12">
      <c r="A20" s="594" t="s">
        <v>1054</v>
      </c>
      <c r="B20" s="595"/>
      <c r="C20" s="231" t="e">
        <f>[2]MERC.07!C2</f>
        <v>#REF!</v>
      </c>
      <c r="D20" s="210" t="s">
        <v>340</v>
      </c>
      <c r="E20" s="577">
        <v>1</v>
      </c>
      <c r="F20" s="577"/>
      <c r="G20" s="577"/>
      <c r="H20" s="577"/>
      <c r="I20" s="577"/>
      <c r="J20" s="593" t="e">
        <f>[2]MERC.07!H10</f>
        <v>#REF!</v>
      </c>
      <c r="K20" s="593"/>
      <c r="L20" s="224" t="e">
        <f>E20*J20</f>
        <v>#REF!</v>
      </c>
    </row>
    <row r="21" spans="1:12" ht="25.5">
      <c r="A21" s="210">
        <v>20083</v>
      </c>
      <c r="B21" s="207" t="s">
        <v>72</v>
      </c>
      <c r="C21" s="223" t="s">
        <v>1034</v>
      </c>
      <c r="D21" s="210" t="s">
        <v>340</v>
      </c>
      <c r="E21" s="577">
        <v>0.06</v>
      </c>
      <c r="F21" s="577"/>
      <c r="G21" s="577"/>
      <c r="H21" s="577"/>
      <c r="I21" s="577"/>
      <c r="J21" s="593">
        <v>78.02</v>
      </c>
      <c r="K21" s="593"/>
      <c r="L21" s="224">
        <f>E21*J21</f>
        <v>4.68</v>
      </c>
    </row>
    <row r="22" spans="1:12">
      <c r="A22" s="210">
        <v>38383</v>
      </c>
      <c r="B22" s="207" t="s">
        <v>72</v>
      </c>
      <c r="C22" s="223" t="s">
        <v>1035</v>
      </c>
      <c r="D22" s="210" t="s">
        <v>49</v>
      </c>
      <c r="E22" s="577">
        <v>0.03</v>
      </c>
      <c r="F22" s="577"/>
      <c r="G22" s="577"/>
      <c r="H22" s="577"/>
      <c r="I22" s="577"/>
      <c r="J22" s="593">
        <v>2.44</v>
      </c>
      <c r="K22" s="593"/>
      <c r="L22" s="224">
        <f>E22*J22</f>
        <v>7.0000000000000007E-2</v>
      </c>
    </row>
    <row r="23" spans="1:12">
      <c r="A23" s="574" t="s">
        <v>1036</v>
      </c>
      <c r="B23" s="575"/>
      <c r="C23" s="576"/>
      <c r="D23" s="576"/>
      <c r="E23" s="576"/>
      <c r="F23" s="576"/>
      <c r="G23" s="576"/>
      <c r="H23" s="576"/>
      <c r="I23" s="576"/>
      <c r="J23" s="576"/>
      <c r="K23" s="576"/>
      <c r="L23" s="227" t="e">
        <f>SUM(L19:L22)</f>
        <v>#REF!</v>
      </c>
    </row>
    <row r="24" spans="1:12">
      <c r="A24" s="218" t="s">
        <v>1005</v>
      </c>
      <c r="B24" s="219" t="s">
        <v>1006</v>
      </c>
      <c r="C24" s="220" t="s">
        <v>1037</v>
      </c>
      <c r="D24" s="220" t="s">
        <v>1018</v>
      </c>
      <c r="E24" s="589" t="s">
        <v>1029</v>
      </c>
      <c r="F24" s="590"/>
      <c r="G24" s="590"/>
      <c r="H24" s="590"/>
      <c r="I24" s="591"/>
      <c r="J24" s="589" t="s">
        <v>1030</v>
      </c>
      <c r="K24" s="591"/>
      <c r="L24" s="221" t="s">
        <v>1031</v>
      </c>
    </row>
    <row r="25" spans="1:12">
      <c r="A25" s="210"/>
      <c r="B25" s="207"/>
      <c r="C25" s="223"/>
      <c r="D25" s="210"/>
      <c r="E25" s="577"/>
      <c r="F25" s="577"/>
      <c r="G25" s="577"/>
      <c r="H25" s="577"/>
      <c r="I25" s="577"/>
      <c r="J25" s="577"/>
      <c r="K25" s="577"/>
      <c r="L25" s="232">
        <f>J25*E25</f>
        <v>0</v>
      </c>
    </row>
    <row r="26" spans="1:12" ht="15.75" thickBot="1">
      <c r="A26" s="574" t="s">
        <v>1038</v>
      </c>
      <c r="B26" s="575"/>
      <c r="C26" s="576"/>
      <c r="D26" s="576"/>
      <c r="E26" s="576"/>
      <c r="F26" s="576"/>
      <c r="G26" s="576"/>
      <c r="H26" s="576"/>
      <c r="I26" s="576"/>
      <c r="J26" s="576"/>
      <c r="K26" s="576"/>
      <c r="L26" s="227">
        <f>SUM(L25:L25)</f>
        <v>0</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c r="A28" s="579"/>
      <c r="B28" s="581"/>
      <c r="C28" s="583"/>
      <c r="D28" s="583"/>
      <c r="E28" s="233" t="s">
        <v>1043</v>
      </c>
      <c r="F28" s="233" t="s">
        <v>1044</v>
      </c>
      <c r="G28" s="585"/>
      <c r="H28" s="570" t="s">
        <v>725</v>
      </c>
      <c r="I28" s="571"/>
      <c r="J28" s="570" t="s">
        <v>1030</v>
      </c>
      <c r="K28" s="571"/>
      <c r="L28" s="569"/>
    </row>
    <row r="29" spans="1:12">
      <c r="A29" s="234"/>
      <c r="B29" s="207"/>
      <c r="C29" s="235"/>
      <c r="D29" s="236"/>
      <c r="E29" s="236"/>
      <c r="F29" s="236"/>
      <c r="G29" s="236"/>
      <c r="H29" s="572"/>
      <c r="I29" s="572"/>
      <c r="J29" s="573"/>
      <c r="K29" s="573"/>
      <c r="L29" s="236">
        <f>G29*J29</f>
        <v>0</v>
      </c>
    </row>
    <row r="30" spans="1:12" ht="15.75" thickBot="1">
      <c r="A30" s="574" t="s">
        <v>1045</v>
      </c>
      <c r="B30" s="575"/>
      <c r="C30" s="576"/>
      <c r="D30" s="576"/>
      <c r="E30" s="576"/>
      <c r="F30" s="576"/>
      <c r="G30" s="576"/>
      <c r="H30" s="576"/>
      <c r="I30" s="576"/>
      <c r="J30" s="576"/>
      <c r="K30" s="576"/>
      <c r="L30" s="227">
        <f>SUM(L29:L29)</f>
        <v>0</v>
      </c>
    </row>
    <row r="31" spans="1:12" ht="15.75" thickBot="1">
      <c r="A31" s="562" t="s">
        <v>1046</v>
      </c>
      <c r="B31" s="563"/>
      <c r="C31" s="563"/>
      <c r="D31" s="563"/>
      <c r="E31" s="563"/>
      <c r="F31" s="563"/>
      <c r="G31" s="563"/>
      <c r="H31" s="563"/>
      <c r="I31" s="563"/>
      <c r="J31" s="563"/>
      <c r="K31" s="564"/>
      <c r="L31" s="228" t="e">
        <f>L17+L23+L26+L30</f>
        <v>#REF!</v>
      </c>
    </row>
    <row r="32" spans="1:12" ht="15.75" thickBot="1">
      <c r="A32" s="565" t="s">
        <v>1047</v>
      </c>
      <c r="B32" s="566"/>
      <c r="C32" s="566"/>
      <c r="D32" s="566"/>
      <c r="E32" s="566"/>
      <c r="F32" s="566"/>
      <c r="G32" s="566"/>
      <c r="H32" s="566"/>
      <c r="I32" s="566"/>
      <c r="J32" s="566"/>
      <c r="K32" s="567"/>
      <c r="L32" s="237" t="e">
        <f>L31</f>
        <v>#REF!</v>
      </c>
    </row>
  </sheetData>
  <mergeCells count="59">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24:I24"/>
    <mergeCell ref="J24:K24"/>
    <mergeCell ref="E18:I18"/>
    <mergeCell ref="J18:K18"/>
    <mergeCell ref="E19:I19"/>
    <mergeCell ref="J19:K19"/>
    <mergeCell ref="E21:I21"/>
    <mergeCell ref="J21:K21"/>
    <mergeCell ref="E22:I22"/>
    <mergeCell ref="J22:K22"/>
    <mergeCell ref="A23:K23"/>
    <mergeCell ref="A20:B20"/>
    <mergeCell ref="E20:I20"/>
    <mergeCell ref="J20:K20"/>
    <mergeCell ref="E25:I25"/>
    <mergeCell ref="J25:K25"/>
    <mergeCell ref="A26:K26"/>
    <mergeCell ref="A27:A28"/>
    <mergeCell ref="B27:B28"/>
    <mergeCell ref="C27:C28"/>
    <mergeCell ref="D27:D28"/>
    <mergeCell ref="G27:G28"/>
    <mergeCell ref="H27:K27"/>
    <mergeCell ref="A31:K31"/>
    <mergeCell ref="A32:K32"/>
    <mergeCell ref="L27:L28"/>
    <mergeCell ref="H28:I28"/>
    <mergeCell ref="J28:K28"/>
    <mergeCell ref="H29:I29"/>
    <mergeCell ref="J29:K29"/>
    <mergeCell ref="A30:K30"/>
  </mergeCells>
  <pageMargins left="0.511811024" right="0.511811024" top="0.78740157499999996" bottom="0.78740157499999996" header="0.31496062000000002" footer="0.3149606200000000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891C6-ADB6-4C48-9089-8CB63904DC4B}">
  <dimension ref="A1:L32"/>
  <sheetViews>
    <sheetView workbookViewId="0">
      <selection activeCell="E11" sqref="E11:I11"/>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1057</v>
      </c>
      <c r="B1" s="195"/>
      <c r="C1" s="195"/>
      <c r="D1" s="195"/>
      <c r="E1" s="195"/>
      <c r="F1" s="196" t="str">
        <f>'[1]PLANILHA '!H7</f>
        <v>DATA BASE DA PLANILHA:</v>
      </c>
      <c r="G1" s="197"/>
      <c r="H1" s="197"/>
      <c r="I1" s="196" t="str">
        <f>'[2]CRONOGRAMA '!E3</f>
        <v>JANEIRO 2025</v>
      </c>
      <c r="K1" s="195"/>
      <c r="L1" s="198"/>
    </row>
    <row r="2" spans="1:12">
      <c r="A2" s="606" t="s">
        <v>1003</v>
      </c>
      <c r="B2" s="607"/>
      <c r="C2" s="199" t="s">
        <v>912</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c r="A4" s="578" t="s">
        <v>1005</v>
      </c>
      <c r="B4" s="584" t="s">
        <v>1006</v>
      </c>
      <c r="C4" s="582" t="s">
        <v>1007</v>
      </c>
      <c r="D4" s="582" t="s">
        <v>1008</v>
      </c>
      <c r="E4" s="582" t="s">
        <v>1009</v>
      </c>
      <c r="F4" s="582"/>
      <c r="G4" s="582"/>
      <c r="H4" s="582"/>
      <c r="I4" s="582"/>
      <c r="J4" s="582" t="s">
        <v>1010</v>
      </c>
      <c r="K4" s="582"/>
      <c r="L4" s="614"/>
    </row>
    <row r="5" spans="1:12">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 r="A9" s="218" t="s">
        <v>1005</v>
      </c>
      <c r="B9" s="219" t="s">
        <v>1006</v>
      </c>
      <c r="C9" s="220" t="s">
        <v>1017</v>
      </c>
      <c r="D9" s="220" t="s">
        <v>1018</v>
      </c>
      <c r="E9" s="589" t="s">
        <v>1019</v>
      </c>
      <c r="F9" s="590"/>
      <c r="G9" s="590"/>
      <c r="H9" s="590"/>
      <c r="I9" s="591"/>
      <c r="J9" s="589" t="s">
        <v>1020</v>
      </c>
      <c r="K9" s="591"/>
      <c r="L9" s="221" t="s">
        <v>1021</v>
      </c>
    </row>
    <row r="10" spans="1:12" ht="25.5">
      <c r="A10" s="210">
        <v>88267</v>
      </c>
      <c r="B10" s="222" t="s">
        <v>72</v>
      </c>
      <c r="C10" s="223" t="s">
        <v>1022</v>
      </c>
      <c r="D10" s="210" t="s">
        <v>20</v>
      </c>
      <c r="E10" s="592">
        <v>0.3</v>
      </c>
      <c r="F10" s="592"/>
      <c r="G10" s="592"/>
      <c r="H10" s="592"/>
      <c r="I10" s="592"/>
      <c r="J10" s="599">
        <v>29.54</v>
      </c>
      <c r="K10" s="599"/>
      <c r="L10" s="224">
        <f>ROUND(J10*E10,2)</f>
        <v>8.86</v>
      </c>
    </row>
    <row r="11" spans="1:12" ht="25.5">
      <c r="A11" s="210">
        <v>88248</v>
      </c>
      <c r="B11" s="222" t="s">
        <v>72</v>
      </c>
      <c r="C11" s="223" t="s">
        <v>1023</v>
      </c>
      <c r="D11" s="210" t="s">
        <v>20</v>
      </c>
      <c r="E11" s="592">
        <v>0.3</v>
      </c>
      <c r="F11" s="592"/>
      <c r="G11" s="592"/>
      <c r="H11" s="592"/>
      <c r="I11" s="592"/>
      <c r="J11" s="600">
        <v>25.3</v>
      </c>
      <c r="K11" s="600"/>
      <c r="L11" s="224">
        <f>ROUND(J11*E11,2)</f>
        <v>7.59</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16.45</v>
      </c>
    </row>
    <row r="15" spans="1:12" ht="15.75" thickBot="1">
      <c r="A15" s="596" t="s">
        <v>1025</v>
      </c>
      <c r="B15" s="597"/>
      <c r="C15" s="597"/>
      <c r="D15" s="597"/>
      <c r="E15" s="597"/>
      <c r="F15" s="597"/>
      <c r="G15" s="597"/>
      <c r="H15" s="597"/>
      <c r="I15" s="597"/>
      <c r="J15" s="597"/>
      <c r="K15" s="598"/>
      <c r="L15" s="228">
        <f>L14*0.05</f>
        <v>0.82</v>
      </c>
    </row>
    <row r="16" spans="1:12" ht="15.75" thickBot="1">
      <c r="A16" s="574" t="s">
        <v>1026</v>
      </c>
      <c r="B16" s="575"/>
      <c r="C16" s="576"/>
      <c r="D16" s="576"/>
      <c r="E16" s="576"/>
      <c r="F16" s="576"/>
      <c r="G16" s="576"/>
      <c r="H16" s="576"/>
      <c r="I16" s="576"/>
      <c r="J16" s="576"/>
      <c r="K16" s="576"/>
      <c r="L16" s="229">
        <v>1</v>
      </c>
    </row>
    <row r="17" spans="1:12" ht="15.75" thickBot="1">
      <c r="A17" s="596" t="s">
        <v>1027</v>
      </c>
      <c r="B17" s="597"/>
      <c r="C17" s="597"/>
      <c r="D17" s="597"/>
      <c r="E17" s="597"/>
      <c r="F17" s="597"/>
      <c r="G17" s="597"/>
      <c r="H17" s="597"/>
      <c r="I17" s="597"/>
      <c r="J17" s="597"/>
      <c r="K17" s="598"/>
      <c r="L17" s="228">
        <f>ROUND((L8+L14+L15)/L16,2)</f>
        <v>17.27</v>
      </c>
    </row>
    <row r="18" spans="1:12">
      <c r="A18" s="218" t="s">
        <v>1005</v>
      </c>
      <c r="B18" s="219" t="s">
        <v>1006</v>
      </c>
      <c r="C18" s="220" t="s">
        <v>1028</v>
      </c>
      <c r="D18" s="220" t="s">
        <v>1018</v>
      </c>
      <c r="E18" s="589" t="s">
        <v>1029</v>
      </c>
      <c r="F18" s="590"/>
      <c r="G18" s="590"/>
      <c r="H18" s="590"/>
      <c r="I18" s="591"/>
      <c r="J18" s="589" t="s">
        <v>1030</v>
      </c>
      <c r="K18" s="591"/>
      <c r="L18" s="221" t="s">
        <v>1031</v>
      </c>
    </row>
    <row r="19" spans="1:12">
      <c r="A19" s="230">
        <v>122</v>
      </c>
      <c r="B19" s="207" t="s">
        <v>72</v>
      </c>
      <c r="C19" s="223" t="s">
        <v>1032</v>
      </c>
      <c r="D19" s="210" t="s">
        <v>340</v>
      </c>
      <c r="E19" s="592">
        <v>3.5299999999999998E-2</v>
      </c>
      <c r="F19" s="592"/>
      <c r="G19" s="592"/>
      <c r="H19" s="592"/>
      <c r="I19" s="592"/>
      <c r="J19" s="593">
        <v>66.86</v>
      </c>
      <c r="K19" s="593"/>
      <c r="L19" s="224">
        <f>E19*J19</f>
        <v>2.36</v>
      </c>
    </row>
    <row r="20" spans="1:12">
      <c r="A20" s="594" t="s">
        <v>1056</v>
      </c>
      <c r="B20" s="595"/>
      <c r="C20" s="231" t="e">
        <f>[2]MERC.08!C2</f>
        <v>#REF!</v>
      </c>
      <c r="D20" s="210" t="s">
        <v>340</v>
      </c>
      <c r="E20" s="577">
        <v>1</v>
      </c>
      <c r="F20" s="577"/>
      <c r="G20" s="577"/>
      <c r="H20" s="577"/>
      <c r="I20" s="577"/>
      <c r="J20" s="593" t="e">
        <f>[2]MERC.08!H10</f>
        <v>#REF!</v>
      </c>
      <c r="K20" s="593"/>
      <c r="L20" s="224" t="e">
        <f>E20*J20</f>
        <v>#REF!</v>
      </c>
    </row>
    <row r="21" spans="1:12" ht="25.5">
      <c r="A21" s="210">
        <v>20083</v>
      </c>
      <c r="B21" s="207" t="s">
        <v>72</v>
      </c>
      <c r="C21" s="223" t="s">
        <v>1034</v>
      </c>
      <c r="D21" s="210" t="s">
        <v>340</v>
      </c>
      <c r="E21" s="577">
        <v>0.06</v>
      </c>
      <c r="F21" s="577"/>
      <c r="G21" s="577"/>
      <c r="H21" s="577"/>
      <c r="I21" s="577"/>
      <c r="J21" s="593">
        <v>78.02</v>
      </c>
      <c r="K21" s="593"/>
      <c r="L21" s="224">
        <f>E21*J21</f>
        <v>4.68</v>
      </c>
    </row>
    <row r="22" spans="1:12">
      <c r="A22" s="210">
        <v>38383</v>
      </c>
      <c r="B22" s="207" t="s">
        <v>72</v>
      </c>
      <c r="C22" s="223" t="s">
        <v>1035</v>
      </c>
      <c r="D22" s="210" t="s">
        <v>49</v>
      </c>
      <c r="E22" s="577">
        <v>0.03</v>
      </c>
      <c r="F22" s="577"/>
      <c r="G22" s="577"/>
      <c r="H22" s="577"/>
      <c r="I22" s="577"/>
      <c r="J22" s="593">
        <v>2.44</v>
      </c>
      <c r="K22" s="593"/>
      <c r="L22" s="224">
        <f>E22*J22</f>
        <v>7.0000000000000007E-2</v>
      </c>
    </row>
    <row r="23" spans="1:12">
      <c r="A23" s="574" t="s">
        <v>1036</v>
      </c>
      <c r="B23" s="575"/>
      <c r="C23" s="576"/>
      <c r="D23" s="576"/>
      <c r="E23" s="576"/>
      <c r="F23" s="576"/>
      <c r="G23" s="576"/>
      <c r="H23" s="576"/>
      <c r="I23" s="576"/>
      <c r="J23" s="576"/>
      <c r="K23" s="576"/>
      <c r="L23" s="227" t="e">
        <f>SUM(L19:L22)</f>
        <v>#REF!</v>
      </c>
    </row>
    <row r="24" spans="1:12">
      <c r="A24" s="218" t="s">
        <v>1005</v>
      </c>
      <c r="B24" s="219" t="s">
        <v>1006</v>
      </c>
      <c r="C24" s="220" t="s">
        <v>1037</v>
      </c>
      <c r="D24" s="220" t="s">
        <v>1018</v>
      </c>
      <c r="E24" s="589" t="s">
        <v>1029</v>
      </c>
      <c r="F24" s="590"/>
      <c r="G24" s="590"/>
      <c r="H24" s="590"/>
      <c r="I24" s="591"/>
      <c r="J24" s="589" t="s">
        <v>1030</v>
      </c>
      <c r="K24" s="591"/>
      <c r="L24" s="221" t="s">
        <v>1031</v>
      </c>
    </row>
    <row r="25" spans="1:12">
      <c r="A25" s="210"/>
      <c r="B25" s="207"/>
      <c r="C25" s="223"/>
      <c r="D25" s="210"/>
      <c r="E25" s="577"/>
      <c r="F25" s="577"/>
      <c r="G25" s="577"/>
      <c r="H25" s="577"/>
      <c r="I25" s="577"/>
      <c r="J25" s="577"/>
      <c r="K25" s="577"/>
      <c r="L25" s="232">
        <f>J25*E25</f>
        <v>0</v>
      </c>
    </row>
    <row r="26" spans="1:12" ht="15.75" thickBot="1">
      <c r="A26" s="574" t="s">
        <v>1038</v>
      </c>
      <c r="B26" s="575"/>
      <c r="C26" s="576"/>
      <c r="D26" s="576"/>
      <c r="E26" s="576"/>
      <c r="F26" s="576"/>
      <c r="G26" s="576"/>
      <c r="H26" s="576"/>
      <c r="I26" s="576"/>
      <c r="J26" s="576"/>
      <c r="K26" s="576"/>
      <c r="L26" s="227">
        <f>SUM(L25:L25)</f>
        <v>0</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c r="A28" s="579"/>
      <c r="B28" s="581"/>
      <c r="C28" s="583"/>
      <c r="D28" s="583"/>
      <c r="E28" s="233" t="s">
        <v>1043</v>
      </c>
      <c r="F28" s="233" t="s">
        <v>1044</v>
      </c>
      <c r="G28" s="585"/>
      <c r="H28" s="570" t="s">
        <v>725</v>
      </c>
      <c r="I28" s="571"/>
      <c r="J28" s="570" t="s">
        <v>1030</v>
      </c>
      <c r="K28" s="571"/>
      <c r="L28" s="569"/>
    </row>
    <row r="29" spans="1:12">
      <c r="A29" s="234"/>
      <c r="B29" s="207"/>
      <c r="C29" s="235"/>
      <c r="D29" s="236"/>
      <c r="E29" s="236"/>
      <c r="F29" s="236"/>
      <c r="G29" s="236"/>
      <c r="H29" s="572"/>
      <c r="I29" s="572"/>
      <c r="J29" s="573"/>
      <c r="K29" s="573"/>
      <c r="L29" s="236">
        <f>G29*J29</f>
        <v>0</v>
      </c>
    </row>
    <row r="30" spans="1:12" ht="15.75" thickBot="1">
      <c r="A30" s="574" t="s">
        <v>1045</v>
      </c>
      <c r="B30" s="575"/>
      <c r="C30" s="576"/>
      <c r="D30" s="576"/>
      <c r="E30" s="576"/>
      <c r="F30" s="576"/>
      <c r="G30" s="576"/>
      <c r="H30" s="576"/>
      <c r="I30" s="576"/>
      <c r="J30" s="576"/>
      <c r="K30" s="576"/>
      <c r="L30" s="227">
        <f>SUM(L29:L29)</f>
        <v>0</v>
      </c>
    </row>
    <row r="31" spans="1:12" ht="15.75" thickBot="1">
      <c r="A31" s="562" t="s">
        <v>1046</v>
      </c>
      <c r="B31" s="563"/>
      <c r="C31" s="563"/>
      <c r="D31" s="563"/>
      <c r="E31" s="563"/>
      <c r="F31" s="563"/>
      <c r="G31" s="563"/>
      <c r="H31" s="563"/>
      <c r="I31" s="563"/>
      <c r="J31" s="563"/>
      <c r="K31" s="564"/>
      <c r="L31" s="228" t="e">
        <f>L17+L23+L26+L30</f>
        <v>#REF!</v>
      </c>
    </row>
    <row r="32" spans="1:12" ht="15.75" thickBot="1">
      <c r="A32" s="565" t="s">
        <v>1047</v>
      </c>
      <c r="B32" s="566"/>
      <c r="C32" s="566"/>
      <c r="D32" s="566"/>
      <c r="E32" s="566"/>
      <c r="F32" s="566"/>
      <c r="G32" s="566"/>
      <c r="H32" s="566"/>
      <c r="I32" s="566"/>
      <c r="J32" s="566"/>
      <c r="K32" s="567"/>
      <c r="L32" s="237" t="e">
        <f>L31</f>
        <v>#REF!</v>
      </c>
    </row>
  </sheetData>
  <mergeCells count="59">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24:I24"/>
    <mergeCell ref="J24:K24"/>
    <mergeCell ref="E18:I18"/>
    <mergeCell ref="J18:K18"/>
    <mergeCell ref="E19:I19"/>
    <mergeCell ref="J19:K19"/>
    <mergeCell ref="E21:I21"/>
    <mergeCell ref="J21:K21"/>
    <mergeCell ref="E22:I22"/>
    <mergeCell ref="J22:K22"/>
    <mergeCell ref="A23:K23"/>
    <mergeCell ref="A20:B20"/>
    <mergeCell ref="E20:I20"/>
    <mergeCell ref="J20:K20"/>
    <mergeCell ref="E25:I25"/>
    <mergeCell ref="J25:K25"/>
    <mergeCell ref="A26:K26"/>
    <mergeCell ref="A27:A28"/>
    <mergeCell ref="B27:B28"/>
    <mergeCell ref="C27:C28"/>
    <mergeCell ref="D27:D28"/>
    <mergeCell ref="G27:G28"/>
    <mergeCell ref="H27:K27"/>
    <mergeCell ref="A31:K31"/>
    <mergeCell ref="A32:K32"/>
    <mergeCell ref="L27:L28"/>
    <mergeCell ref="H28:I28"/>
    <mergeCell ref="J28:K28"/>
    <mergeCell ref="H29:I29"/>
    <mergeCell ref="J29:K29"/>
    <mergeCell ref="A30:K30"/>
  </mergeCells>
  <pageMargins left="0.511811024" right="0.511811024" top="0.78740157499999996" bottom="0.78740157499999996" header="0.31496062000000002" footer="0.3149606200000000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E145-EE21-4189-9789-2FDC94C17CC5}">
  <dimension ref="A1:L32"/>
  <sheetViews>
    <sheetView workbookViewId="0">
      <selection activeCell="A14" sqref="A14:K14"/>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1066</v>
      </c>
      <c r="B1" s="195"/>
      <c r="C1" s="195"/>
      <c r="D1" s="195"/>
      <c r="E1" s="195"/>
      <c r="F1" s="196" t="str">
        <f>'[1]PLANILHA '!H7</f>
        <v>DATA BASE DA PLANILHA:</v>
      </c>
      <c r="G1" s="197"/>
      <c r="H1" s="197"/>
      <c r="I1" s="196" t="str">
        <f>'[2]CRONOGRAMA '!E3</f>
        <v>JANEIRO 2025</v>
      </c>
      <c r="K1" s="195"/>
      <c r="L1" s="198"/>
    </row>
    <row r="2" spans="1:12">
      <c r="A2" s="606" t="s">
        <v>1003</v>
      </c>
      <c r="B2" s="607"/>
      <c r="C2" s="199" t="s">
        <v>987</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c r="A4" s="578" t="s">
        <v>1005</v>
      </c>
      <c r="B4" s="584" t="s">
        <v>1006</v>
      </c>
      <c r="C4" s="582" t="s">
        <v>1007</v>
      </c>
      <c r="D4" s="582" t="s">
        <v>1008</v>
      </c>
      <c r="E4" s="582" t="s">
        <v>1009</v>
      </c>
      <c r="F4" s="582"/>
      <c r="G4" s="582"/>
      <c r="H4" s="582"/>
      <c r="I4" s="582"/>
      <c r="J4" s="582" t="s">
        <v>1010</v>
      </c>
      <c r="K4" s="582"/>
      <c r="L4" s="614"/>
    </row>
    <row r="5" spans="1:12">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 r="A9" s="218" t="s">
        <v>1005</v>
      </c>
      <c r="B9" s="219" t="s">
        <v>1006</v>
      </c>
      <c r="C9" s="220" t="s">
        <v>1017</v>
      </c>
      <c r="D9" s="220" t="s">
        <v>1018</v>
      </c>
      <c r="E9" s="589" t="s">
        <v>1019</v>
      </c>
      <c r="F9" s="590"/>
      <c r="G9" s="590"/>
      <c r="H9" s="590"/>
      <c r="I9" s="591"/>
      <c r="J9" s="589" t="s">
        <v>1020</v>
      </c>
      <c r="K9" s="591"/>
      <c r="L9" s="221" t="s">
        <v>1021</v>
      </c>
    </row>
    <row r="10" spans="1:12">
      <c r="A10" s="210">
        <v>10101</v>
      </c>
      <c r="B10" s="222" t="s">
        <v>1058</v>
      </c>
      <c r="C10" s="208" t="s">
        <v>1059</v>
      </c>
      <c r="D10" s="210" t="s">
        <v>20</v>
      </c>
      <c r="E10" s="592">
        <v>5</v>
      </c>
      <c r="F10" s="592"/>
      <c r="G10" s="592"/>
      <c r="H10" s="592"/>
      <c r="I10" s="592"/>
      <c r="J10" s="599">
        <v>24.1</v>
      </c>
      <c r="K10" s="599"/>
      <c r="L10" s="224">
        <f>ROUND(J10*E10,2)</f>
        <v>120.5</v>
      </c>
    </row>
    <row r="11" spans="1:12">
      <c r="A11" s="238" t="s">
        <v>1060</v>
      </c>
      <c r="B11" s="222" t="s">
        <v>1058</v>
      </c>
      <c r="C11" s="208" t="s">
        <v>1061</v>
      </c>
      <c r="D11" s="210" t="s">
        <v>20</v>
      </c>
      <c r="E11" s="592">
        <v>5.5</v>
      </c>
      <c r="F11" s="592"/>
      <c r="G11" s="592"/>
      <c r="H11" s="592"/>
      <c r="I11" s="592"/>
      <c r="J11" s="600">
        <v>17.88</v>
      </c>
      <c r="K11" s="600"/>
      <c r="L11" s="224">
        <f>ROUND(J11*E11,2)</f>
        <v>98.34</v>
      </c>
    </row>
    <row r="12" spans="1:12">
      <c r="A12" s="210"/>
      <c r="B12" s="207"/>
      <c r="C12" s="208"/>
      <c r="D12" s="210"/>
      <c r="E12" s="592"/>
      <c r="F12" s="592"/>
      <c r="G12" s="592"/>
      <c r="H12" s="592"/>
      <c r="I12" s="592"/>
      <c r="J12" s="601"/>
      <c r="K12" s="601"/>
      <c r="L12" s="224"/>
    </row>
    <row r="13" spans="1:12">
      <c r="A13" s="212"/>
      <c r="B13" s="212"/>
      <c r="C13" s="225"/>
      <c r="D13" s="212"/>
      <c r="E13" s="602"/>
      <c r="F13" s="602"/>
      <c r="G13" s="602"/>
      <c r="H13" s="602"/>
      <c r="I13" s="602"/>
      <c r="J13" s="603"/>
      <c r="K13" s="603"/>
      <c r="L13" s="226"/>
    </row>
    <row r="14" spans="1:12" ht="15.75" thickBot="1">
      <c r="A14" s="574" t="s">
        <v>1024</v>
      </c>
      <c r="B14" s="575"/>
      <c r="C14" s="576"/>
      <c r="D14" s="576"/>
      <c r="E14" s="576"/>
      <c r="F14" s="576"/>
      <c r="G14" s="576"/>
      <c r="H14" s="576"/>
      <c r="I14" s="576"/>
      <c r="J14" s="576"/>
      <c r="K14" s="576"/>
      <c r="L14" s="227">
        <f>SUM(L10:L13)</f>
        <v>218.84</v>
      </c>
    </row>
    <row r="15" spans="1:12" ht="15.75" thickBot="1">
      <c r="A15" s="596" t="s">
        <v>1025</v>
      </c>
      <c r="B15" s="597"/>
      <c r="C15" s="597"/>
      <c r="D15" s="597"/>
      <c r="E15" s="597"/>
      <c r="F15" s="597"/>
      <c r="G15" s="597"/>
      <c r="H15" s="597"/>
      <c r="I15" s="597"/>
      <c r="J15" s="597"/>
      <c r="K15" s="598"/>
      <c r="L15" s="228">
        <f>L14*0.05</f>
        <v>10.94</v>
      </c>
    </row>
    <row r="16" spans="1:12" ht="15.75" thickBot="1">
      <c r="A16" s="574" t="s">
        <v>1026</v>
      </c>
      <c r="B16" s="575"/>
      <c r="C16" s="576"/>
      <c r="D16" s="576"/>
      <c r="E16" s="576"/>
      <c r="F16" s="576"/>
      <c r="G16" s="576"/>
      <c r="H16" s="576"/>
      <c r="I16" s="576"/>
      <c r="J16" s="576"/>
      <c r="K16" s="576"/>
      <c r="L16" s="229">
        <v>1</v>
      </c>
    </row>
    <row r="17" spans="1:12" ht="15.75" thickBot="1">
      <c r="A17" s="596" t="s">
        <v>1027</v>
      </c>
      <c r="B17" s="597"/>
      <c r="C17" s="597"/>
      <c r="D17" s="597"/>
      <c r="E17" s="597"/>
      <c r="F17" s="597"/>
      <c r="G17" s="597"/>
      <c r="H17" s="597"/>
      <c r="I17" s="597"/>
      <c r="J17" s="597"/>
      <c r="K17" s="598"/>
      <c r="L17" s="228">
        <f>ROUND((L8+L14+L15)/L16,2)</f>
        <v>229.78</v>
      </c>
    </row>
    <row r="18" spans="1:12">
      <c r="A18" s="218" t="s">
        <v>1005</v>
      </c>
      <c r="B18" s="219" t="s">
        <v>1006</v>
      </c>
      <c r="C18" s="220" t="s">
        <v>1028</v>
      </c>
      <c r="D18" s="220" t="s">
        <v>1018</v>
      </c>
      <c r="E18" s="589" t="s">
        <v>1029</v>
      </c>
      <c r="F18" s="590"/>
      <c r="G18" s="590"/>
      <c r="H18" s="590"/>
      <c r="I18" s="591"/>
      <c r="J18" s="589" t="s">
        <v>1030</v>
      </c>
      <c r="K18" s="591"/>
      <c r="L18" s="221" t="s">
        <v>1031</v>
      </c>
    </row>
    <row r="19" spans="1:12">
      <c r="A19" s="230">
        <v>20503</v>
      </c>
      <c r="B19" s="222" t="s">
        <v>1058</v>
      </c>
      <c r="C19" s="223" t="s">
        <v>1062</v>
      </c>
      <c r="D19" s="210" t="s">
        <v>64</v>
      </c>
      <c r="E19" s="592">
        <v>0.05</v>
      </c>
      <c r="F19" s="592"/>
      <c r="G19" s="592"/>
      <c r="H19" s="592"/>
      <c r="I19" s="592"/>
      <c r="J19" s="593">
        <v>136.66999999999999</v>
      </c>
      <c r="K19" s="593"/>
      <c r="L19" s="224">
        <f>E19*J19</f>
        <v>6.83</v>
      </c>
    </row>
    <row r="20" spans="1:12">
      <c r="A20" s="594" t="s">
        <v>1063</v>
      </c>
      <c r="B20" s="595"/>
      <c r="C20" s="231" t="e">
        <f>[2]MERC.09!C2</f>
        <v>#REF!</v>
      </c>
      <c r="D20" s="210" t="s">
        <v>340</v>
      </c>
      <c r="E20" s="577">
        <v>1</v>
      </c>
      <c r="F20" s="577"/>
      <c r="G20" s="577"/>
      <c r="H20" s="577"/>
      <c r="I20" s="577"/>
      <c r="J20" s="593" t="e">
        <f>[2]MERC.09!H10</f>
        <v>#REF!</v>
      </c>
      <c r="K20" s="593"/>
      <c r="L20" s="224" t="e">
        <f>E20*J20</f>
        <v>#REF!</v>
      </c>
    </row>
    <row r="21" spans="1:12">
      <c r="A21" s="210">
        <v>20508</v>
      </c>
      <c r="B21" s="222" t="s">
        <v>1058</v>
      </c>
      <c r="C21" s="223" t="s">
        <v>1064</v>
      </c>
      <c r="D21" s="210" t="s">
        <v>76</v>
      </c>
      <c r="E21" s="577">
        <v>1</v>
      </c>
      <c r="F21" s="577"/>
      <c r="G21" s="577"/>
      <c r="H21" s="577"/>
      <c r="I21" s="577"/>
      <c r="J21" s="593">
        <v>0.56999999999999995</v>
      </c>
      <c r="K21" s="593"/>
      <c r="L21" s="224">
        <f>E21*J21</f>
        <v>0.56999999999999995</v>
      </c>
    </row>
    <row r="22" spans="1:12">
      <c r="A22" s="210">
        <v>69512</v>
      </c>
      <c r="B22" s="222" t="s">
        <v>1058</v>
      </c>
      <c r="C22" s="223" t="s">
        <v>1065</v>
      </c>
      <c r="D22" s="210" t="s">
        <v>49</v>
      </c>
      <c r="E22" s="577">
        <v>4</v>
      </c>
      <c r="F22" s="577"/>
      <c r="G22" s="577"/>
      <c r="H22" s="577"/>
      <c r="I22" s="577"/>
      <c r="J22" s="593">
        <v>0.21</v>
      </c>
      <c r="K22" s="593"/>
      <c r="L22" s="224">
        <f>E22*J22</f>
        <v>0.84</v>
      </c>
    </row>
    <row r="23" spans="1:12">
      <c r="A23" s="574" t="s">
        <v>1036</v>
      </c>
      <c r="B23" s="575"/>
      <c r="C23" s="576"/>
      <c r="D23" s="576"/>
      <c r="E23" s="576"/>
      <c r="F23" s="576"/>
      <c r="G23" s="576"/>
      <c r="H23" s="576"/>
      <c r="I23" s="576"/>
      <c r="J23" s="576"/>
      <c r="K23" s="576"/>
      <c r="L23" s="227" t="e">
        <f>SUM(L19:L22)</f>
        <v>#REF!</v>
      </c>
    </row>
    <row r="24" spans="1:12">
      <c r="A24" s="218" t="s">
        <v>1005</v>
      </c>
      <c r="B24" s="219" t="s">
        <v>1006</v>
      </c>
      <c r="C24" s="220" t="s">
        <v>1037</v>
      </c>
      <c r="D24" s="220" t="s">
        <v>1018</v>
      </c>
      <c r="E24" s="589" t="s">
        <v>1029</v>
      </c>
      <c r="F24" s="590"/>
      <c r="G24" s="590"/>
      <c r="H24" s="590"/>
      <c r="I24" s="591"/>
      <c r="J24" s="589" t="s">
        <v>1030</v>
      </c>
      <c r="K24" s="591"/>
      <c r="L24" s="221" t="s">
        <v>1031</v>
      </c>
    </row>
    <row r="25" spans="1:12">
      <c r="A25" s="210"/>
      <c r="B25" s="207"/>
      <c r="C25" s="223"/>
      <c r="D25" s="210"/>
      <c r="E25" s="577"/>
      <c r="F25" s="577"/>
      <c r="G25" s="577"/>
      <c r="H25" s="577"/>
      <c r="I25" s="577"/>
      <c r="J25" s="577"/>
      <c r="K25" s="577"/>
      <c r="L25" s="232">
        <f>J25*E25</f>
        <v>0</v>
      </c>
    </row>
    <row r="26" spans="1:12" ht="15.75" thickBot="1">
      <c r="A26" s="574" t="s">
        <v>1038</v>
      </c>
      <c r="B26" s="575"/>
      <c r="C26" s="576"/>
      <c r="D26" s="576"/>
      <c r="E26" s="576"/>
      <c r="F26" s="576"/>
      <c r="G26" s="576"/>
      <c r="H26" s="576"/>
      <c r="I26" s="576"/>
      <c r="J26" s="576"/>
      <c r="K26" s="576"/>
      <c r="L26" s="227">
        <f>SUM(L25:L25)</f>
        <v>0</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c r="A28" s="579"/>
      <c r="B28" s="581"/>
      <c r="C28" s="583"/>
      <c r="D28" s="583"/>
      <c r="E28" s="233" t="s">
        <v>1043</v>
      </c>
      <c r="F28" s="233" t="s">
        <v>1044</v>
      </c>
      <c r="G28" s="585"/>
      <c r="H28" s="570" t="s">
        <v>725</v>
      </c>
      <c r="I28" s="571"/>
      <c r="J28" s="570" t="s">
        <v>1030</v>
      </c>
      <c r="K28" s="571"/>
      <c r="L28" s="569"/>
    </row>
    <row r="29" spans="1:12">
      <c r="A29" s="234"/>
      <c r="B29" s="207"/>
      <c r="C29" s="235"/>
      <c r="D29" s="236"/>
      <c r="E29" s="236"/>
      <c r="F29" s="236"/>
      <c r="G29" s="236"/>
      <c r="H29" s="572"/>
      <c r="I29" s="572"/>
      <c r="J29" s="573"/>
      <c r="K29" s="573"/>
      <c r="L29" s="236">
        <f>G29*J29</f>
        <v>0</v>
      </c>
    </row>
    <row r="30" spans="1:12" ht="15.75" thickBot="1">
      <c r="A30" s="574" t="s">
        <v>1045</v>
      </c>
      <c r="B30" s="575"/>
      <c r="C30" s="576"/>
      <c r="D30" s="576"/>
      <c r="E30" s="576"/>
      <c r="F30" s="576"/>
      <c r="G30" s="576"/>
      <c r="H30" s="576"/>
      <c r="I30" s="576"/>
      <c r="J30" s="576"/>
      <c r="K30" s="576"/>
      <c r="L30" s="227">
        <f>SUM(L29:L29)</f>
        <v>0</v>
      </c>
    </row>
    <row r="31" spans="1:12" ht="15.75" thickBot="1">
      <c r="A31" s="562" t="s">
        <v>1046</v>
      </c>
      <c r="B31" s="563"/>
      <c r="C31" s="563"/>
      <c r="D31" s="563"/>
      <c r="E31" s="563"/>
      <c r="F31" s="563"/>
      <c r="G31" s="563"/>
      <c r="H31" s="563"/>
      <c r="I31" s="563"/>
      <c r="J31" s="563"/>
      <c r="K31" s="564"/>
      <c r="L31" s="228" t="e">
        <f>L17+L23+L26+L30</f>
        <v>#REF!</v>
      </c>
    </row>
    <row r="32" spans="1:12" ht="15.75" thickBot="1">
      <c r="A32" s="565" t="s">
        <v>1047</v>
      </c>
      <c r="B32" s="566"/>
      <c r="C32" s="566"/>
      <c r="D32" s="566"/>
      <c r="E32" s="566"/>
      <c r="F32" s="566"/>
      <c r="G32" s="566"/>
      <c r="H32" s="566"/>
      <c r="I32" s="566"/>
      <c r="J32" s="566"/>
      <c r="K32" s="567"/>
      <c r="L32" s="237" t="e">
        <f>L31</f>
        <v>#REF!</v>
      </c>
    </row>
  </sheetData>
  <mergeCells count="59">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A17:K17"/>
    <mergeCell ref="E10:I10"/>
    <mergeCell ref="J10:K10"/>
    <mergeCell ref="E11:I11"/>
    <mergeCell ref="J11:K11"/>
    <mergeCell ref="E12:I12"/>
    <mergeCell ref="J12:K12"/>
    <mergeCell ref="E13:I13"/>
    <mergeCell ref="J13:K13"/>
    <mergeCell ref="A14:K14"/>
    <mergeCell ref="A15:K15"/>
    <mergeCell ref="A16:K16"/>
    <mergeCell ref="E24:I24"/>
    <mergeCell ref="J24:K24"/>
    <mergeCell ref="E18:I18"/>
    <mergeCell ref="J18:K18"/>
    <mergeCell ref="E19:I19"/>
    <mergeCell ref="J19:K19"/>
    <mergeCell ref="E21:I21"/>
    <mergeCell ref="J21:K21"/>
    <mergeCell ref="E22:I22"/>
    <mergeCell ref="J22:K22"/>
    <mergeCell ref="A23:K23"/>
    <mergeCell ref="A20:B20"/>
    <mergeCell ref="E20:I20"/>
    <mergeCell ref="J20:K20"/>
    <mergeCell ref="E25:I25"/>
    <mergeCell ref="J25:K25"/>
    <mergeCell ref="A26:K26"/>
    <mergeCell ref="A27:A28"/>
    <mergeCell ref="B27:B28"/>
    <mergeCell ref="C27:C28"/>
    <mergeCell ref="D27:D28"/>
    <mergeCell ref="G27:G28"/>
    <mergeCell ref="H27:K27"/>
    <mergeCell ref="A31:K31"/>
    <mergeCell ref="A32:K32"/>
    <mergeCell ref="L27:L28"/>
    <mergeCell ref="H28:I28"/>
    <mergeCell ref="J28:K28"/>
    <mergeCell ref="H29:I29"/>
    <mergeCell ref="J29:K29"/>
    <mergeCell ref="A30:K30"/>
  </mergeCells>
  <pageMargins left="0.511811024" right="0.511811024" top="0.78740157499999996" bottom="0.78740157499999996" header="0.31496062000000002" footer="0.3149606200000000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C858F-F19A-451E-93EC-1CC32BA8B86C}">
  <dimension ref="A1:L32"/>
  <sheetViews>
    <sheetView workbookViewId="0">
      <selection activeCell="L12" sqref="L12"/>
    </sheetView>
  </sheetViews>
  <sheetFormatPr defaultColWidth="10.7109375" defaultRowHeight="15"/>
  <cols>
    <col min="1" max="1" width="12.7109375" style="125" customWidth="1"/>
    <col min="2" max="2" width="7.28515625" style="125" customWidth="1"/>
    <col min="3" max="3" width="61.42578125" style="125" bestFit="1" customWidth="1"/>
    <col min="4" max="4" width="9.140625" style="125" customWidth="1"/>
    <col min="5" max="5" width="6.7109375" style="125" customWidth="1"/>
    <col min="6" max="6" width="6.5703125" style="125" customWidth="1"/>
    <col min="7" max="7" width="8.7109375" style="125" customWidth="1"/>
    <col min="8" max="9" width="8.7109375" style="125" bestFit="1" customWidth="1"/>
    <col min="10" max="10" width="10.85546875" style="125" customWidth="1"/>
    <col min="11" max="11" width="11.5703125" style="125" customWidth="1"/>
    <col min="12" max="12" width="15.7109375" style="125" customWidth="1"/>
    <col min="13" max="256" width="10.7109375" style="125"/>
    <col min="257" max="257" width="12.7109375" style="125" customWidth="1"/>
    <col min="258" max="258" width="7.28515625" style="125" customWidth="1"/>
    <col min="259" max="259" width="61.42578125" style="125" bestFit="1" customWidth="1"/>
    <col min="260" max="260" width="9.140625" style="125" customWidth="1"/>
    <col min="261" max="261" width="6.7109375" style="125" customWidth="1"/>
    <col min="262" max="262" width="6.5703125" style="125" customWidth="1"/>
    <col min="263" max="263" width="8.7109375" style="125" customWidth="1"/>
    <col min="264" max="265" width="8.7109375" style="125" bestFit="1" customWidth="1"/>
    <col min="266" max="266" width="10.85546875" style="125" customWidth="1"/>
    <col min="267" max="267" width="11.5703125" style="125" customWidth="1"/>
    <col min="268" max="268" width="15.7109375" style="125" customWidth="1"/>
    <col min="269" max="512" width="10.7109375" style="125"/>
    <col min="513" max="513" width="12.7109375" style="125" customWidth="1"/>
    <col min="514" max="514" width="7.28515625" style="125" customWidth="1"/>
    <col min="515" max="515" width="61.42578125" style="125" bestFit="1" customWidth="1"/>
    <col min="516" max="516" width="9.140625" style="125" customWidth="1"/>
    <col min="517" max="517" width="6.7109375" style="125" customWidth="1"/>
    <col min="518" max="518" width="6.5703125" style="125" customWidth="1"/>
    <col min="519" max="519" width="8.7109375" style="125" customWidth="1"/>
    <col min="520" max="521" width="8.7109375" style="125" bestFit="1" customWidth="1"/>
    <col min="522" max="522" width="10.85546875" style="125" customWidth="1"/>
    <col min="523" max="523" width="11.5703125" style="125" customWidth="1"/>
    <col min="524" max="524" width="15.7109375" style="125" customWidth="1"/>
    <col min="525" max="768" width="10.7109375" style="125"/>
    <col min="769" max="769" width="12.7109375" style="125" customWidth="1"/>
    <col min="770" max="770" width="7.28515625" style="125" customWidth="1"/>
    <col min="771" max="771" width="61.42578125" style="125" bestFit="1" customWidth="1"/>
    <col min="772" max="772" width="9.140625" style="125" customWidth="1"/>
    <col min="773" max="773" width="6.7109375" style="125" customWidth="1"/>
    <col min="774" max="774" width="6.5703125" style="125" customWidth="1"/>
    <col min="775" max="775" width="8.7109375" style="125" customWidth="1"/>
    <col min="776" max="777" width="8.7109375" style="125" bestFit="1" customWidth="1"/>
    <col min="778" max="778" width="10.85546875" style="125" customWidth="1"/>
    <col min="779" max="779" width="11.5703125" style="125" customWidth="1"/>
    <col min="780" max="780" width="15.7109375" style="125" customWidth="1"/>
    <col min="781" max="1024" width="10.7109375" style="125"/>
    <col min="1025" max="1025" width="12.7109375" style="125" customWidth="1"/>
    <col min="1026" max="1026" width="7.28515625" style="125" customWidth="1"/>
    <col min="1027" max="1027" width="61.42578125" style="125" bestFit="1" customWidth="1"/>
    <col min="1028" max="1028" width="9.140625" style="125" customWidth="1"/>
    <col min="1029" max="1029" width="6.7109375" style="125" customWidth="1"/>
    <col min="1030" max="1030" width="6.5703125" style="125" customWidth="1"/>
    <col min="1031" max="1031" width="8.7109375" style="125" customWidth="1"/>
    <col min="1032" max="1033" width="8.7109375" style="125" bestFit="1" customWidth="1"/>
    <col min="1034" max="1034" width="10.85546875" style="125" customWidth="1"/>
    <col min="1035" max="1035" width="11.5703125" style="125" customWidth="1"/>
    <col min="1036" max="1036" width="15.7109375" style="125" customWidth="1"/>
    <col min="1037" max="1280" width="10.7109375" style="125"/>
    <col min="1281" max="1281" width="12.7109375" style="125" customWidth="1"/>
    <col min="1282" max="1282" width="7.28515625" style="125" customWidth="1"/>
    <col min="1283" max="1283" width="61.42578125" style="125" bestFit="1" customWidth="1"/>
    <col min="1284" max="1284" width="9.140625" style="125" customWidth="1"/>
    <col min="1285" max="1285" width="6.7109375" style="125" customWidth="1"/>
    <col min="1286" max="1286" width="6.5703125" style="125" customWidth="1"/>
    <col min="1287" max="1287" width="8.7109375" style="125" customWidth="1"/>
    <col min="1288" max="1289" width="8.7109375" style="125" bestFit="1" customWidth="1"/>
    <col min="1290" max="1290" width="10.85546875" style="125" customWidth="1"/>
    <col min="1291" max="1291" width="11.5703125" style="125" customWidth="1"/>
    <col min="1292" max="1292" width="15.7109375" style="125" customWidth="1"/>
    <col min="1293" max="1536" width="10.7109375" style="125"/>
    <col min="1537" max="1537" width="12.7109375" style="125" customWidth="1"/>
    <col min="1538" max="1538" width="7.28515625" style="125" customWidth="1"/>
    <col min="1539" max="1539" width="61.42578125" style="125" bestFit="1" customWidth="1"/>
    <col min="1540" max="1540" width="9.140625" style="125" customWidth="1"/>
    <col min="1541" max="1541" width="6.7109375" style="125" customWidth="1"/>
    <col min="1542" max="1542" width="6.5703125" style="125" customWidth="1"/>
    <col min="1543" max="1543" width="8.7109375" style="125" customWidth="1"/>
    <col min="1544" max="1545" width="8.7109375" style="125" bestFit="1" customWidth="1"/>
    <col min="1546" max="1546" width="10.85546875" style="125" customWidth="1"/>
    <col min="1547" max="1547" width="11.5703125" style="125" customWidth="1"/>
    <col min="1548" max="1548" width="15.7109375" style="125" customWidth="1"/>
    <col min="1549" max="1792" width="10.7109375" style="125"/>
    <col min="1793" max="1793" width="12.7109375" style="125" customWidth="1"/>
    <col min="1794" max="1794" width="7.28515625" style="125" customWidth="1"/>
    <col min="1795" max="1795" width="61.42578125" style="125" bestFit="1" customWidth="1"/>
    <col min="1796" max="1796" width="9.140625" style="125" customWidth="1"/>
    <col min="1797" max="1797" width="6.7109375" style="125" customWidth="1"/>
    <col min="1798" max="1798" width="6.5703125" style="125" customWidth="1"/>
    <col min="1799" max="1799" width="8.7109375" style="125" customWidth="1"/>
    <col min="1800" max="1801" width="8.7109375" style="125" bestFit="1" customWidth="1"/>
    <col min="1802" max="1802" width="10.85546875" style="125" customWidth="1"/>
    <col min="1803" max="1803" width="11.5703125" style="125" customWidth="1"/>
    <col min="1804" max="1804" width="15.7109375" style="125" customWidth="1"/>
    <col min="1805" max="2048" width="10.7109375" style="125"/>
    <col min="2049" max="2049" width="12.7109375" style="125" customWidth="1"/>
    <col min="2050" max="2050" width="7.28515625" style="125" customWidth="1"/>
    <col min="2051" max="2051" width="61.42578125" style="125" bestFit="1" customWidth="1"/>
    <col min="2052" max="2052" width="9.140625" style="125" customWidth="1"/>
    <col min="2053" max="2053" width="6.7109375" style="125" customWidth="1"/>
    <col min="2054" max="2054" width="6.5703125" style="125" customWidth="1"/>
    <col min="2055" max="2055" width="8.7109375" style="125" customWidth="1"/>
    <col min="2056" max="2057" width="8.7109375" style="125" bestFit="1" customWidth="1"/>
    <col min="2058" max="2058" width="10.85546875" style="125" customWidth="1"/>
    <col min="2059" max="2059" width="11.5703125" style="125" customWidth="1"/>
    <col min="2060" max="2060" width="15.7109375" style="125" customWidth="1"/>
    <col min="2061" max="2304" width="10.7109375" style="125"/>
    <col min="2305" max="2305" width="12.7109375" style="125" customWidth="1"/>
    <col min="2306" max="2306" width="7.28515625" style="125" customWidth="1"/>
    <col min="2307" max="2307" width="61.42578125" style="125" bestFit="1" customWidth="1"/>
    <col min="2308" max="2308" width="9.140625" style="125" customWidth="1"/>
    <col min="2309" max="2309" width="6.7109375" style="125" customWidth="1"/>
    <col min="2310" max="2310" width="6.5703125" style="125" customWidth="1"/>
    <col min="2311" max="2311" width="8.7109375" style="125" customWidth="1"/>
    <col min="2312" max="2313" width="8.7109375" style="125" bestFit="1" customWidth="1"/>
    <col min="2314" max="2314" width="10.85546875" style="125" customWidth="1"/>
    <col min="2315" max="2315" width="11.5703125" style="125" customWidth="1"/>
    <col min="2316" max="2316" width="15.7109375" style="125" customWidth="1"/>
    <col min="2317" max="2560" width="10.7109375" style="125"/>
    <col min="2561" max="2561" width="12.7109375" style="125" customWidth="1"/>
    <col min="2562" max="2562" width="7.28515625" style="125" customWidth="1"/>
    <col min="2563" max="2563" width="61.42578125" style="125" bestFit="1" customWidth="1"/>
    <col min="2564" max="2564" width="9.140625" style="125" customWidth="1"/>
    <col min="2565" max="2565" width="6.7109375" style="125" customWidth="1"/>
    <col min="2566" max="2566" width="6.5703125" style="125" customWidth="1"/>
    <col min="2567" max="2567" width="8.7109375" style="125" customWidth="1"/>
    <col min="2568" max="2569" width="8.7109375" style="125" bestFit="1" customWidth="1"/>
    <col min="2570" max="2570" width="10.85546875" style="125" customWidth="1"/>
    <col min="2571" max="2571" width="11.5703125" style="125" customWidth="1"/>
    <col min="2572" max="2572" width="15.7109375" style="125" customWidth="1"/>
    <col min="2573" max="2816" width="10.7109375" style="125"/>
    <col min="2817" max="2817" width="12.7109375" style="125" customWidth="1"/>
    <col min="2818" max="2818" width="7.28515625" style="125" customWidth="1"/>
    <col min="2819" max="2819" width="61.42578125" style="125" bestFit="1" customWidth="1"/>
    <col min="2820" max="2820" width="9.140625" style="125" customWidth="1"/>
    <col min="2821" max="2821" width="6.7109375" style="125" customWidth="1"/>
    <col min="2822" max="2822" width="6.5703125" style="125" customWidth="1"/>
    <col min="2823" max="2823" width="8.7109375" style="125" customWidth="1"/>
    <col min="2824" max="2825" width="8.7109375" style="125" bestFit="1" customWidth="1"/>
    <col min="2826" max="2826" width="10.85546875" style="125" customWidth="1"/>
    <col min="2827" max="2827" width="11.5703125" style="125" customWidth="1"/>
    <col min="2828" max="2828" width="15.7109375" style="125" customWidth="1"/>
    <col min="2829" max="3072" width="10.7109375" style="125"/>
    <col min="3073" max="3073" width="12.7109375" style="125" customWidth="1"/>
    <col min="3074" max="3074" width="7.28515625" style="125" customWidth="1"/>
    <col min="3075" max="3075" width="61.42578125" style="125" bestFit="1" customWidth="1"/>
    <col min="3076" max="3076" width="9.140625" style="125" customWidth="1"/>
    <col min="3077" max="3077" width="6.7109375" style="125" customWidth="1"/>
    <col min="3078" max="3078" width="6.5703125" style="125" customWidth="1"/>
    <col min="3079" max="3079" width="8.7109375" style="125" customWidth="1"/>
    <col min="3080" max="3081" width="8.7109375" style="125" bestFit="1" customWidth="1"/>
    <col min="3082" max="3082" width="10.85546875" style="125" customWidth="1"/>
    <col min="3083" max="3083" width="11.5703125" style="125" customWidth="1"/>
    <col min="3084" max="3084" width="15.7109375" style="125" customWidth="1"/>
    <col min="3085" max="3328" width="10.7109375" style="125"/>
    <col min="3329" max="3329" width="12.7109375" style="125" customWidth="1"/>
    <col min="3330" max="3330" width="7.28515625" style="125" customWidth="1"/>
    <col min="3331" max="3331" width="61.42578125" style="125" bestFit="1" customWidth="1"/>
    <col min="3332" max="3332" width="9.140625" style="125" customWidth="1"/>
    <col min="3333" max="3333" width="6.7109375" style="125" customWidth="1"/>
    <col min="3334" max="3334" width="6.5703125" style="125" customWidth="1"/>
    <col min="3335" max="3335" width="8.7109375" style="125" customWidth="1"/>
    <col min="3336" max="3337" width="8.7109375" style="125" bestFit="1" customWidth="1"/>
    <col min="3338" max="3338" width="10.85546875" style="125" customWidth="1"/>
    <col min="3339" max="3339" width="11.5703125" style="125" customWidth="1"/>
    <col min="3340" max="3340" width="15.7109375" style="125" customWidth="1"/>
    <col min="3341" max="3584" width="10.7109375" style="125"/>
    <col min="3585" max="3585" width="12.7109375" style="125" customWidth="1"/>
    <col min="3586" max="3586" width="7.28515625" style="125" customWidth="1"/>
    <col min="3587" max="3587" width="61.42578125" style="125" bestFit="1" customWidth="1"/>
    <col min="3588" max="3588" width="9.140625" style="125" customWidth="1"/>
    <col min="3589" max="3589" width="6.7109375" style="125" customWidth="1"/>
    <col min="3590" max="3590" width="6.5703125" style="125" customWidth="1"/>
    <col min="3591" max="3591" width="8.7109375" style="125" customWidth="1"/>
    <col min="3592" max="3593" width="8.7109375" style="125" bestFit="1" customWidth="1"/>
    <col min="3594" max="3594" width="10.85546875" style="125" customWidth="1"/>
    <col min="3595" max="3595" width="11.5703125" style="125" customWidth="1"/>
    <col min="3596" max="3596" width="15.7109375" style="125" customWidth="1"/>
    <col min="3597" max="3840" width="10.7109375" style="125"/>
    <col min="3841" max="3841" width="12.7109375" style="125" customWidth="1"/>
    <col min="3842" max="3842" width="7.28515625" style="125" customWidth="1"/>
    <col min="3843" max="3843" width="61.42578125" style="125" bestFit="1" customWidth="1"/>
    <col min="3844" max="3844" width="9.140625" style="125" customWidth="1"/>
    <col min="3845" max="3845" width="6.7109375" style="125" customWidth="1"/>
    <col min="3846" max="3846" width="6.5703125" style="125" customWidth="1"/>
    <col min="3847" max="3847" width="8.7109375" style="125" customWidth="1"/>
    <col min="3848" max="3849" width="8.7109375" style="125" bestFit="1" customWidth="1"/>
    <col min="3850" max="3850" width="10.85546875" style="125" customWidth="1"/>
    <col min="3851" max="3851" width="11.5703125" style="125" customWidth="1"/>
    <col min="3852" max="3852" width="15.7109375" style="125" customWidth="1"/>
    <col min="3853" max="4096" width="10.7109375" style="125"/>
    <col min="4097" max="4097" width="12.7109375" style="125" customWidth="1"/>
    <col min="4098" max="4098" width="7.28515625" style="125" customWidth="1"/>
    <col min="4099" max="4099" width="61.42578125" style="125" bestFit="1" customWidth="1"/>
    <col min="4100" max="4100" width="9.140625" style="125" customWidth="1"/>
    <col min="4101" max="4101" width="6.7109375" style="125" customWidth="1"/>
    <col min="4102" max="4102" width="6.5703125" style="125" customWidth="1"/>
    <col min="4103" max="4103" width="8.7109375" style="125" customWidth="1"/>
    <col min="4104" max="4105" width="8.7109375" style="125" bestFit="1" customWidth="1"/>
    <col min="4106" max="4106" width="10.85546875" style="125" customWidth="1"/>
    <col min="4107" max="4107" width="11.5703125" style="125" customWidth="1"/>
    <col min="4108" max="4108" width="15.7109375" style="125" customWidth="1"/>
    <col min="4109" max="4352" width="10.7109375" style="125"/>
    <col min="4353" max="4353" width="12.7109375" style="125" customWidth="1"/>
    <col min="4354" max="4354" width="7.28515625" style="125" customWidth="1"/>
    <col min="4355" max="4355" width="61.42578125" style="125" bestFit="1" customWidth="1"/>
    <col min="4356" max="4356" width="9.140625" style="125" customWidth="1"/>
    <col min="4357" max="4357" width="6.7109375" style="125" customWidth="1"/>
    <col min="4358" max="4358" width="6.5703125" style="125" customWidth="1"/>
    <col min="4359" max="4359" width="8.7109375" style="125" customWidth="1"/>
    <col min="4360" max="4361" width="8.7109375" style="125" bestFit="1" customWidth="1"/>
    <col min="4362" max="4362" width="10.85546875" style="125" customWidth="1"/>
    <col min="4363" max="4363" width="11.5703125" style="125" customWidth="1"/>
    <col min="4364" max="4364" width="15.7109375" style="125" customWidth="1"/>
    <col min="4365" max="4608" width="10.7109375" style="125"/>
    <col min="4609" max="4609" width="12.7109375" style="125" customWidth="1"/>
    <col min="4610" max="4610" width="7.28515625" style="125" customWidth="1"/>
    <col min="4611" max="4611" width="61.42578125" style="125" bestFit="1" customWidth="1"/>
    <col min="4612" max="4612" width="9.140625" style="125" customWidth="1"/>
    <col min="4613" max="4613" width="6.7109375" style="125" customWidth="1"/>
    <col min="4614" max="4614" width="6.5703125" style="125" customWidth="1"/>
    <col min="4615" max="4615" width="8.7109375" style="125" customWidth="1"/>
    <col min="4616" max="4617" width="8.7109375" style="125" bestFit="1" customWidth="1"/>
    <col min="4618" max="4618" width="10.85546875" style="125" customWidth="1"/>
    <col min="4619" max="4619" width="11.5703125" style="125" customWidth="1"/>
    <col min="4620" max="4620" width="15.7109375" style="125" customWidth="1"/>
    <col min="4621" max="4864" width="10.7109375" style="125"/>
    <col min="4865" max="4865" width="12.7109375" style="125" customWidth="1"/>
    <col min="4866" max="4866" width="7.28515625" style="125" customWidth="1"/>
    <col min="4867" max="4867" width="61.42578125" style="125" bestFit="1" customWidth="1"/>
    <col min="4868" max="4868" width="9.140625" style="125" customWidth="1"/>
    <col min="4869" max="4869" width="6.7109375" style="125" customWidth="1"/>
    <col min="4870" max="4870" width="6.5703125" style="125" customWidth="1"/>
    <col min="4871" max="4871" width="8.7109375" style="125" customWidth="1"/>
    <col min="4872" max="4873" width="8.7109375" style="125" bestFit="1" customWidth="1"/>
    <col min="4874" max="4874" width="10.85546875" style="125" customWidth="1"/>
    <col min="4875" max="4875" width="11.5703125" style="125" customWidth="1"/>
    <col min="4876" max="4876" width="15.7109375" style="125" customWidth="1"/>
    <col min="4877" max="5120" width="10.7109375" style="125"/>
    <col min="5121" max="5121" width="12.7109375" style="125" customWidth="1"/>
    <col min="5122" max="5122" width="7.28515625" style="125" customWidth="1"/>
    <col min="5123" max="5123" width="61.42578125" style="125" bestFit="1" customWidth="1"/>
    <col min="5124" max="5124" width="9.140625" style="125" customWidth="1"/>
    <col min="5125" max="5125" width="6.7109375" style="125" customWidth="1"/>
    <col min="5126" max="5126" width="6.5703125" style="125" customWidth="1"/>
    <col min="5127" max="5127" width="8.7109375" style="125" customWidth="1"/>
    <col min="5128" max="5129" width="8.7109375" style="125" bestFit="1" customWidth="1"/>
    <col min="5130" max="5130" width="10.85546875" style="125" customWidth="1"/>
    <col min="5131" max="5131" width="11.5703125" style="125" customWidth="1"/>
    <col min="5132" max="5132" width="15.7109375" style="125" customWidth="1"/>
    <col min="5133" max="5376" width="10.7109375" style="125"/>
    <col min="5377" max="5377" width="12.7109375" style="125" customWidth="1"/>
    <col min="5378" max="5378" width="7.28515625" style="125" customWidth="1"/>
    <col min="5379" max="5379" width="61.42578125" style="125" bestFit="1" customWidth="1"/>
    <col min="5380" max="5380" width="9.140625" style="125" customWidth="1"/>
    <col min="5381" max="5381" width="6.7109375" style="125" customWidth="1"/>
    <col min="5382" max="5382" width="6.5703125" style="125" customWidth="1"/>
    <col min="5383" max="5383" width="8.7109375" style="125" customWidth="1"/>
    <col min="5384" max="5385" width="8.7109375" style="125" bestFit="1" customWidth="1"/>
    <col min="5386" max="5386" width="10.85546875" style="125" customWidth="1"/>
    <col min="5387" max="5387" width="11.5703125" style="125" customWidth="1"/>
    <col min="5388" max="5388" width="15.7109375" style="125" customWidth="1"/>
    <col min="5389" max="5632" width="10.7109375" style="125"/>
    <col min="5633" max="5633" width="12.7109375" style="125" customWidth="1"/>
    <col min="5634" max="5634" width="7.28515625" style="125" customWidth="1"/>
    <col min="5635" max="5635" width="61.42578125" style="125" bestFit="1" customWidth="1"/>
    <col min="5636" max="5636" width="9.140625" style="125" customWidth="1"/>
    <col min="5637" max="5637" width="6.7109375" style="125" customWidth="1"/>
    <col min="5638" max="5638" width="6.5703125" style="125" customWidth="1"/>
    <col min="5639" max="5639" width="8.7109375" style="125" customWidth="1"/>
    <col min="5640" max="5641" width="8.7109375" style="125" bestFit="1" customWidth="1"/>
    <col min="5642" max="5642" width="10.85546875" style="125" customWidth="1"/>
    <col min="5643" max="5643" width="11.5703125" style="125" customWidth="1"/>
    <col min="5644" max="5644" width="15.7109375" style="125" customWidth="1"/>
    <col min="5645" max="5888" width="10.7109375" style="125"/>
    <col min="5889" max="5889" width="12.7109375" style="125" customWidth="1"/>
    <col min="5890" max="5890" width="7.28515625" style="125" customWidth="1"/>
    <col min="5891" max="5891" width="61.42578125" style="125" bestFit="1" customWidth="1"/>
    <col min="5892" max="5892" width="9.140625" style="125" customWidth="1"/>
    <col min="5893" max="5893" width="6.7109375" style="125" customWidth="1"/>
    <col min="5894" max="5894" width="6.5703125" style="125" customWidth="1"/>
    <col min="5895" max="5895" width="8.7109375" style="125" customWidth="1"/>
    <col min="5896" max="5897" width="8.7109375" style="125" bestFit="1" customWidth="1"/>
    <col min="5898" max="5898" width="10.85546875" style="125" customWidth="1"/>
    <col min="5899" max="5899" width="11.5703125" style="125" customWidth="1"/>
    <col min="5900" max="5900" width="15.7109375" style="125" customWidth="1"/>
    <col min="5901" max="6144" width="10.7109375" style="125"/>
    <col min="6145" max="6145" width="12.7109375" style="125" customWidth="1"/>
    <col min="6146" max="6146" width="7.28515625" style="125" customWidth="1"/>
    <col min="6147" max="6147" width="61.42578125" style="125" bestFit="1" customWidth="1"/>
    <col min="6148" max="6148" width="9.140625" style="125" customWidth="1"/>
    <col min="6149" max="6149" width="6.7109375" style="125" customWidth="1"/>
    <col min="6150" max="6150" width="6.5703125" style="125" customWidth="1"/>
    <col min="6151" max="6151" width="8.7109375" style="125" customWidth="1"/>
    <col min="6152" max="6153" width="8.7109375" style="125" bestFit="1" customWidth="1"/>
    <col min="6154" max="6154" width="10.85546875" style="125" customWidth="1"/>
    <col min="6155" max="6155" width="11.5703125" style="125" customWidth="1"/>
    <col min="6156" max="6156" width="15.7109375" style="125" customWidth="1"/>
    <col min="6157" max="6400" width="10.7109375" style="125"/>
    <col min="6401" max="6401" width="12.7109375" style="125" customWidth="1"/>
    <col min="6402" max="6402" width="7.28515625" style="125" customWidth="1"/>
    <col min="6403" max="6403" width="61.42578125" style="125" bestFit="1" customWidth="1"/>
    <col min="6404" max="6404" width="9.140625" style="125" customWidth="1"/>
    <col min="6405" max="6405" width="6.7109375" style="125" customWidth="1"/>
    <col min="6406" max="6406" width="6.5703125" style="125" customWidth="1"/>
    <col min="6407" max="6407" width="8.7109375" style="125" customWidth="1"/>
    <col min="6408" max="6409" width="8.7109375" style="125" bestFit="1" customWidth="1"/>
    <col min="6410" max="6410" width="10.85546875" style="125" customWidth="1"/>
    <col min="6411" max="6411" width="11.5703125" style="125" customWidth="1"/>
    <col min="6412" max="6412" width="15.7109375" style="125" customWidth="1"/>
    <col min="6413" max="6656" width="10.7109375" style="125"/>
    <col min="6657" max="6657" width="12.7109375" style="125" customWidth="1"/>
    <col min="6658" max="6658" width="7.28515625" style="125" customWidth="1"/>
    <col min="6659" max="6659" width="61.42578125" style="125" bestFit="1" customWidth="1"/>
    <col min="6660" max="6660" width="9.140625" style="125" customWidth="1"/>
    <col min="6661" max="6661" width="6.7109375" style="125" customWidth="1"/>
    <col min="6662" max="6662" width="6.5703125" style="125" customWidth="1"/>
    <col min="6663" max="6663" width="8.7109375" style="125" customWidth="1"/>
    <col min="6664" max="6665" width="8.7109375" style="125" bestFit="1" customWidth="1"/>
    <col min="6666" max="6666" width="10.85546875" style="125" customWidth="1"/>
    <col min="6667" max="6667" width="11.5703125" style="125" customWidth="1"/>
    <col min="6668" max="6668" width="15.7109375" style="125" customWidth="1"/>
    <col min="6669" max="6912" width="10.7109375" style="125"/>
    <col min="6913" max="6913" width="12.7109375" style="125" customWidth="1"/>
    <col min="6914" max="6914" width="7.28515625" style="125" customWidth="1"/>
    <col min="6915" max="6915" width="61.42578125" style="125" bestFit="1" customWidth="1"/>
    <col min="6916" max="6916" width="9.140625" style="125" customWidth="1"/>
    <col min="6917" max="6917" width="6.7109375" style="125" customWidth="1"/>
    <col min="6918" max="6918" width="6.5703125" style="125" customWidth="1"/>
    <col min="6919" max="6919" width="8.7109375" style="125" customWidth="1"/>
    <col min="6920" max="6921" width="8.7109375" style="125" bestFit="1" customWidth="1"/>
    <col min="6922" max="6922" width="10.85546875" style="125" customWidth="1"/>
    <col min="6923" max="6923" width="11.5703125" style="125" customWidth="1"/>
    <col min="6924" max="6924" width="15.7109375" style="125" customWidth="1"/>
    <col min="6925" max="7168" width="10.7109375" style="125"/>
    <col min="7169" max="7169" width="12.7109375" style="125" customWidth="1"/>
    <col min="7170" max="7170" width="7.28515625" style="125" customWidth="1"/>
    <col min="7171" max="7171" width="61.42578125" style="125" bestFit="1" customWidth="1"/>
    <col min="7172" max="7172" width="9.140625" style="125" customWidth="1"/>
    <col min="7173" max="7173" width="6.7109375" style="125" customWidth="1"/>
    <col min="7174" max="7174" width="6.5703125" style="125" customWidth="1"/>
    <col min="7175" max="7175" width="8.7109375" style="125" customWidth="1"/>
    <col min="7176" max="7177" width="8.7109375" style="125" bestFit="1" customWidth="1"/>
    <col min="7178" max="7178" width="10.85546875" style="125" customWidth="1"/>
    <col min="7179" max="7179" width="11.5703125" style="125" customWidth="1"/>
    <col min="7180" max="7180" width="15.7109375" style="125" customWidth="1"/>
    <col min="7181" max="7424" width="10.7109375" style="125"/>
    <col min="7425" max="7425" width="12.7109375" style="125" customWidth="1"/>
    <col min="7426" max="7426" width="7.28515625" style="125" customWidth="1"/>
    <col min="7427" max="7427" width="61.42578125" style="125" bestFit="1" customWidth="1"/>
    <col min="7428" max="7428" width="9.140625" style="125" customWidth="1"/>
    <col min="7429" max="7429" width="6.7109375" style="125" customWidth="1"/>
    <col min="7430" max="7430" width="6.5703125" style="125" customWidth="1"/>
    <col min="7431" max="7431" width="8.7109375" style="125" customWidth="1"/>
    <col min="7432" max="7433" width="8.7109375" style="125" bestFit="1" customWidth="1"/>
    <col min="7434" max="7434" width="10.85546875" style="125" customWidth="1"/>
    <col min="7435" max="7435" width="11.5703125" style="125" customWidth="1"/>
    <col min="7436" max="7436" width="15.7109375" style="125" customWidth="1"/>
    <col min="7437" max="7680" width="10.7109375" style="125"/>
    <col min="7681" max="7681" width="12.7109375" style="125" customWidth="1"/>
    <col min="7682" max="7682" width="7.28515625" style="125" customWidth="1"/>
    <col min="7683" max="7683" width="61.42578125" style="125" bestFit="1" customWidth="1"/>
    <col min="7684" max="7684" width="9.140625" style="125" customWidth="1"/>
    <col min="7685" max="7685" width="6.7109375" style="125" customWidth="1"/>
    <col min="7686" max="7686" width="6.5703125" style="125" customWidth="1"/>
    <col min="7687" max="7687" width="8.7109375" style="125" customWidth="1"/>
    <col min="7688" max="7689" width="8.7109375" style="125" bestFit="1" customWidth="1"/>
    <col min="7690" max="7690" width="10.85546875" style="125" customWidth="1"/>
    <col min="7691" max="7691" width="11.5703125" style="125" customWidth="1"/>
    <col min="7692" max="7692" width="15.7109375" style="125" customWidth="1"/>
    <col min="7693" max="7936" width="10.7109375" style="125"/>
    <col min="7937" max="7937" width="12.7109375" style="125" customWidth="1"/>
    <col min="7938" max="7938" width="7.28515625" style="125" customWidth="1"/>
    <col min="7939" max="7939" width="61.42578125" style="125" bestFit="1" customWidth="1"/>
    <col min="7940" max="7940" width="9.140625" style="125" customWidth="1"/>
    <col min="7941" max="7941" width="6.7109375" style="125" customWidth="1"/>
    <col min="7942" max="7942" width="6.5703125" style="125" customWidth="1"/>
    <col min="7943" max="7943" width="8.7109375" style="125" customWidth="1"/>
    <col min="7944" max="7945" width="8.7109375" style="125" bestFit="1" customWidth="1"/>
    <col min="7946" max="7946" width="10.85546875" style="125" customWidth="1"/>
    <col min="7947" max="7947" width="11.5703125" style="125" customWidth="1"/>
    <col min="7948" max="7948" width="15.7109375" style="125" customWidth="1"/>
    <col min="7949" max="8192" width="10.7109375" style="125"/>
    <col min="8193" max="8193" width="12.7109375" style="125" customWidth="1"/>
    <col min="8194" max="8194" width="7.28515625" style="125" customWidth="1"/>
    <col min="8195" max="8195" width="61.42578125" style="125" bestFit="1" customWidth="1"/>
    <col min="8196" max="8196" width="9.140625" style="125" customWidth="1"/>
    <col min="8197" max="8197" width="6.7109375" style="125" customWidth="1"/>
    <col min="8198" max="8198" width="6.5703125" style="125" customWidth="1"/>
    <col min="8199" max="8199" width="8.7109375" style="125" customWidth="1"/>
    <col min="8200" max="8201" width="8.7109375" style="125" bestFit="1" customWidth="1"/>
    <col min="8202" max="8202" width="10.85546875" style="125" customWidth="1"/>
    <col min="8203" max="8203" width="11.5703125" style="125" customWidth="1"/>
    <col min="8204" max="8204" width="15.7109375" style="125" customWidth="1"/>
    <col min="8205" max="8448" width="10.7109375" style="125"/>
    <col min="8449" max="8449" width="12.7109375" style="125" customWidth="1"/>
    <col min="8450" max="8450" width="7.28515625" style="125" customWidth="1"/>
    <col min="8451" max="8451" width="61.42578125" style="125" bestFit="1" customWidth="1"/>
    <col min="8452" max="8452" width="9.140625" style="125" customWidth="1"/>
    <col min="8453" max="8453" width="6.7109375" style="125" customWidth="1"/>
    <col min="8454" max="8454" width="6.5703125" style="125" customWidth="1"/>
    <col min="8455" max="8455" width="8.7109375" style="125" customWidth="1"/>
    <col min="8456" max="8457" width="8.7109375" style="125" bestFit="1" customWidth="1"/>
    <col min="8458" max="8458" width="10.85546875" style="125" customWidth="1"/>
    <col min="8459" max="8459" width="11.5703125" style="125" customWidth="1"/>
    <col min="8460" max="8460" width="15.7109375" style="125" customWidth="1"/>
    <col min="8461" max="8704" width="10.7109375" style="125"/>
    <col min="8705" max="8705" width="12.7109375" style="125" customWidth="1"/>
    <col min="8706" max="8706" width="7.28515625" style="125" customWidth="1"/>
    <col min="8707" max="8707" width="61.42578125" style="125" bestFit="1" customWidth="1"/>
    <col min="8708" max="8708" width="9.140625" style="125" customWidth="1"/>
    <col min="8709" max="8709" width="6.7109375" style="125" customWidth="1"/>
    <col min="8710" max="8710" width="6.5703125" style="125" customWidth="1"/>
    <col min="8711" max="8711" width="8.7109375" style="125" customWidth="1"/>
    <col min="8712" max="8713" width="8.7109375" style="125" bestFit="1" customWidth="1"/>
    <col min="8714" max="8714" width="10.85546875" style="125" customWidth="1"/>
    <col min="8715" max="8715" width="11.5703125" style="125" customWidth="1"/>
    <col min="8716" max="8716" width="15.7109375" style="125" customWidth="1"/>
    <col min="8717" max="8960" width="10.7109375" style="125"/>
    <col min="8961" max="8961" width="12.7109375" style="125" customWidth="1"/>
    <col min="8962" max="8962" width="7.28515625" style="125" customWidth="1"/>
    <col min="8963" max="8963" width="61.42578125" style="125" bestFit="1" customWidth="1"/>
    <col min="8964" max="8964" width="9.140625" style="125" customWidth="1"/>
    <col min="8965" max="8965" width="6.7109375" style="125" customWidth="1"/>
    <col min="8966" max="8966" width="6.5703125" style="125" customWidth="1"/>
    <col min="8967" max="8967" width="8.7109375" style="125" customWidth="1"/>
    <col min="8968" max="8969" width="8.7109375" style="125" bestFit="1" customWidth="1"/>
    <col min="8970" max="8970" width="10.85546875" style="125" customWidth="1"/>
    <col min="8971" max="8971" width="11.5703125" style="125" customWidth="1"/>
    <col min="8972" max="8972" width="15.7109375" style="125" customWidth="1"/>
    <col min="8973" max="9216" width="10.7109375" style="125"/>
    <col min="9217" max="9217" width="12.7109375" style="125" customWidth="1"/>
    <col min="9218" max="9218" width="7.28515625" style="125" customWidth="1"/>
    <col min="9219" max="9219" width="61.42578125" style="125" bestFit="1" customWidth="1"/>
    <col min="9220" max="9220" width="9.140625" style="125" customWidth="1"/>
    <col min="9221" max="9221" width="6.7109375" style="125" customWidth="1"/>
    <col min="9222" max="9222" width="6.5703125" style="125" customWidth="1"/>
    <col min="9223" max="9223" width="8.7109375" style="125" customWidth="1"/>
    <col min="9224" max="9225" width="8.7109375" style="125" bestFit="1" customWidth="1"/>
    <col min="9226" max="9226" width="10.85546875" style="125" customWidth="1"/>
    <col min="9227" max="9227" width="11.5703125" style="125" customWidth="1"/>
    <col min="9228" max="9228" width="15.7109375" style="125" customWidth="1"/>
    <col min="9229" max="9472" width="10.7109375" style="125"/>
    <col min="9473" max="9473" width="12.7109375" style="125" customWidth="1"/>
    <col min="9474" max="9474" width="7.28515625" style="125" customWidth="1"/>
    <col min="9475" max="9475" width="61.42578125" style="125" bestFit="1" customWidth="1"/>
    <col min="9476" max="9476" width="9.140625" style="125" customWidth="1"/>
    <col min="9477" max="9477" width="6.7109375" style="125" customWidth="1"/>
    <col min="9478" max="9478" width="6.5703125" style="125" customWidth="1"/>
    <col min="9479" max="9479" width="8.7109375" style="125" customWidth="1"/>
    <col min="9480" max="9481" width="8.7109375" style="125" bestFit="1" customWidth="1"/>
    <col min="9482" max="9482" width="10.85546875" style="125" customWidth="1"/>
    <col min="9483" max="9483" width="11.5703125" style="125" customWidth="1"/>
    <col min="9484" max="9484" width="15.7109375" style="125" customWidth="1"/>
    <col min="9485" max="9728" width="10.7109375" style="125"/>
    <col min="9729" max="9729" width="12.7109375" style="125" customWidth="1"/>
    <col min="9730" max="9730" width="7.28515625" style="125" customWidth="1"/>
    <col min="9731" max="9731" width="61.42578125" style="125" bestFit="1" customWidth="1"/>
    <col min="9732" max="9732" width="9.140625" style="125" customWidth="1"/>
    <col min="9733" max="9733" width="6.7109375" style="125" customWidth="1"/>
    <col min="9734" max="9734" width="6.5703125" style="125" customWidth="1"/>
    <col min="9735" max="9735" width="8.7109375" style="125" customWidth="1"/>
    <col min="9736" max="9737" width="8.7109375" style="125" bestFit="1" customWidth="1"/>
    <col min="9738" max="9738" width="10.85546875" style="125" customWidth="1"/>
    <col min="9739" max="9739" width="11.5703125" style="125" customWidth="1"/>
    <col min="9740" max="9740" width="15.7109375" style="125" customWidth="1"/>
    <col min="9741" max="9984" width="10.7109375" style="125"/>
    <col min="9985" max="9985" width="12.7109375" style="125" customWidth="1"/>
    <col min="9986" max="9986" width="7.28515625" style="125" customWidth="1"/>
    <col min="9987" max="9987" width="61.42578125" style="125" bestFit="1" customWidth="1"/>
    <col min="9988" max="9988" width="9.140625" style="125" customWidth="1"/>
    <col min="9989" max="9989" width="6.7109375" style="125" customWidth="1"/>
    <col min="9990" max="9990" width="6.5703125" style="125" customWidth="1"/>
    <col min="9991" max="9991" width="8.7109375" style="125" customWidth="1"/>
    <col min="9992" max="9993" width="8.7109375" style="125" bestFit="1" customWidth="1"/>
    <col min="9994" max="9994" width="10.85546875" style="125" customWidth="1"/>
    <col min="9995" max="9995" width="11.5703125" style="125" customWidth="1"/>
    <col min="9996" max="9996" width="15.7109375" style="125" customWidth="1"/>
    <col min="9997" max="10240" width="10.7109375" style="125"/>
    <col min="10241" max="10241" width="12.7109375" style="125" customWidth="1"/>
    <col min="10242" max="10242" width="7.28515625" style="125" customWidth="1"/>
    <col min="10243" max="10243" width="61.42578125" style="125" bestFit="1" customWidth="1"/>
    <col min="10244" max="10244" width="9.140625" style="125" customWidth="1"/>
    <col min="10245" max="10245" width="6.7109375" style="125" customWidth="1"/>
    <col min="10246" max="10246" width="6.5703125" style="125" customWidth="1"/>
    <col min="10247" max="10247" width="8.7109375" style="125" customWidth="1"/>
    <col min="10248" max="10249" width="8.7109375" style="125" bestFit="1" customWidth="1"/>
    <col min="10250" max="10250" width="10.85546875" style="125" customWidth="1"/>
    <col min="10251" max="10251" width="11.5703125" style="125" customWidth="1"/>
    <col min="10252" max="10252" width="15.7109375" style="125" customWidth="1"/>
    <col min="10253" max="10496" width="10.7109375" style="125"/>
    <col min="10497" max="10497" width="12.7109375" style="125" customWidth="1"/>
    <col min="10498" max="10498" width="7.28515625" style="125" customWidth="1"/>
    <col min="10499" max="10499" width="61.42578125" style="125" bestFit="1" customWidth="1"/>
    <col min="10500" max="10500" width="9.140625" style="125" customWidth="1"/>
    <col min="10501" max="10501" width="6.7109375" style="125" customWidth="1"/>
    <col min="10502" max="10502" width="6.5703125" style="125" customWidth="1"/>
    <col min="10503" max="10503" width="8.7109375" style="125" customWidth="1"/>
    <col min="10504" max="10505" width="8.7109375" style="125" bestFit="1" customWidth="1"/>
    <col min="10506" max="10506" width="10.85546875" style="125" customWidth="1"/>
    <col min="10507" max="10507" width="11.5703125" style="125" customWidth="1"/>
    <col min="10508" max="10508" width="15.7109375" style="125" customWidth="1"/>
    <col min="10509" max="10752" width="10.7109375" style="125"/>
    <col min="10753" max="10753" width="12.7109375" style="125" customWidth="1"/>
    <col min="10754" max="10754" width="7.28515625" style="125" customWidth="1"/>
    <col min="10755" max="10755" width="61.42578125" style="125" bestFit="1" customWidth="1"/>
    <col min="10756" max="10756" width="9.140625" style="125" customWidth="1"/>
    <col min="10757" max="10757" width="6.7109375" style="125" customWidth="1"/>
    <col min="10758" max="10758" width="6.5703125" style="125" customWidth="1"/>
    <col min="10759" max="10759" width="8.7109375" style="125" customWidth="1"/>
    <col min="10760" max="10761" width="8.7109375" style="125" bestFit="1" customWidth="1"/>
    <col min="10762" max="10762" width="10.85546875" style="125" customWidth="1"/>
    <col min="10763" max="10763" width="11.5703125" style="125" customWidth="1"/>
    <col min="10764" max="10764" width="15.7109375" style="125" customWidth="1"/>
    <col min="10765" max="11008" width="10.7109375" style="125"/>
    <col min="11009" max="11009" width="12.7109375" style="125" customWidth="1"/>
    <col min="11010" max="11010" width="7.28515625" style="125" customWidth="1"/>
    <col min="11011" max="11011" width="61.42578125" style="125" bestFit="1" customWidth="1"/>
    <col min="11012" max="11012" width="9.140625" style="125" customWidth="1"/>
    <col min="11013" max="11013" width="6.7109375" style="125" customWidth="1"/>
    <col min="11014" max="11014" width="6.5703125" style="125" customWidth="1"/>
    <col min="11015" max="11015" width="8.7109375" style="125" customWidth="1"/>
    <col min="11016" max="11017" width="8.7109375" style="125" bestFit="1" customWidth="1"/>
    <col min="11018" max="11018" width="10.85546875" style="125" customWidth="1"/>
    <col min="11019" max="11019" width="11.5703125" style="125" customWidth="1"/>
    <col min="11020" max="11020" width="15.7109375" style="125" customWidth="1"/>
    <col min="11021" max="11264" width="10.7109375" style="125"/>
    <col min="11265" max="11265" width="12.7109375" style="125" customWidth="1"/>
    <col min="11266" max="11266" width="7.28515625" style="125" customWidth="1"/>
    <col min="11267" max="11267" width="61.42578125" style="125" bestFit="1" customWidth="1"/>
    <col min="11268" max="11268" width="9.140625" style="125" customWidth="1"/>
    <col min="11269" max="11269" width="6.7109375" style="125" customWidth="1"/>
    <col min="11270" max="11270" width="6.5703125" style="125" customWidth="1"/>
    <col min="11271" max="11271" width="8.7109375" style="125" customWidth="1"/>
    <col min="11272" max="11273" width="8.7109375" style="125" bestFit="1" customWidth="1"/>
    <col min="11274" max="11274" width="10.85546875" style="125" customWidth="1"/>
    <col min="11275" max="11275" width="11.5703125" style="125" customWidth="1"/>
    <col min="11276" max="11276" width="15.7109375" style="125" customWidth="1"/>
    <col min="11277" max="11520" width="10.7109375" style="125"/>
    <col min="11521" max="11521" width="12.7109375" style="125" customWidth="1"/>
    <col min="11522" max="11522" width="7.28515625" style="125" customWidth="1"/>
    <col min="11523" max="11523" width="61.42578125" style="125" bestFit="1" customWidth="1"/>
    <col min="11524" max="11524" width="9.140625" style="125" customWidth="1"/>
    <col min="11525" max="11525" width="6.7109375" style="125" customWidth="1"/>
    <col min="11526" max="11526" width="6.5703125" style="125" customWidth="1"/>
    <col min="11527" max="11527" width="8.7109375" style="125" customWidth="1"/>
    <col min="11528" max="11529" width="8.7109375" style="125" bestFit="1" customWidth="1"/>
    <col min="11530" max="11530" width="10.85546875" style="125" customWidth="1"/>
    <col min="11531" max="11531" width="11.5703125" style="125" customWidth="1"/>
    <col min="11532" max="11532" width="15.7109375" style="125" customWidth="1"/>
    <col min="11533" max="11776" width="10.7109375" style="125"/>
    <col min="11777" max="11777" width="12.7109375" style="125" customWidth="1"/>
    <col min="11778" max="11778" width="7.28515625" style="125" customWidth="1"/>
    <col min="11779" max="11779" width="61.42578125" style="125" bestFit="1" customWidth="1"/>
    <col min="11780" max="11780" width="9.140625" style="125" customWidth="1"/>
    <col min="11781" max="11781" width="6.7109375" style="125" customWidth="1"/>
    <col min="11782" max="11782" width="6.5703125" style="125" customWidth="1"/>
    <col min="11783" max="11783" width="8.7109375" style="125" customWidth="1"/>
    <col min="11784" max="11785" width="8.7109375" style="125" bestFit="1" customWidth="1"/>
    <col min="11786" max="11786" width="10.85546875" style="125" customWidth="1"/>
    <col min="11787" max="11787" width="11.5703125" style="125" customWidth="1"/>
    <col min="11788" max="11788" width="15.7109375" style="125" customWidth="1"/>
    <col min="11789" max="12032" width="10.7109375" style="125"/>
    <col min="12033" max="12033" width="12.7109375" style="125" customWidth="1"/>
    <col min="12034" max="12034" width="7.28515625" style="125" customWidth="1"/>
    <col min="12035" max="12035" width="61.42578125" style="125" bestFit="1" customWidth="1"/>
    <col min="12036" max="12036" width="9.140625" style="125" customWidth="1"/>
    <col min="12037" max="12037" width="6.7109375" style="125" customWidth="1"/>
    <col min="12038" max="12038" width="6.5703125" style="125" customWidth="1"/>
    <col min="12039" max="12039" width="8.7109375" style="125" customWidth="1"/>
    <col min="12040" max="12041" width="8.7109375" style="125" bestFit="1" customWidth="1"/>
    <col min="12042" max="12042" width="10.85546875" style="125" customWidth="1"/>
    <col min="12043" max="12043" width="11.5703125" style="125" customWidth="1"/>
    <col min="12044" max="12044" width="15.7109375" style="125" customWidth="1"/>
    <col min="12045" max="12288" width="10.7109375" style="125"/>
    <col min="12289" max="12289" width="12.7109375" style="125" customWidth="1"/>
    <col min="12290" max="12290" width="7.28515625" style="125" customWidth="1"/>
    <col min="12291" max="12291" width="61.42578125" style="125" bestFit="1" customWidth="1"/>
    <col min="12292" max="12292" width="9.140625" style="125" customWidth="1"/>
    <col min="12293" max="12293" width="6.7109375" style="125" customWidth="1"/>
    <col min="12294" max="12294" width="6.5703125" style="125" customWidth="1"/>
    <col min="12295" max="12295" width="8.7109375" style="125" customWidth="1"/>
    <col min="12296" max="12297" width="8.7109375" style="125" bestFit="1" customWidth="1"/>
    <col min="12298" max="12298" width="10.85546875" style="125" customWidth="1"/>
    <col min="12299" max="12299" width="11.5703125" style="125" customWidth="1"/>
    <col min="12300" max="12300" width="15.7109375" style="125" customWidth="1"/>
    <col min="12301" max="12544" width="10.7109375" style="125"/>
    <col min="12545" max="12545" width="12.7109375" style="125" customWidth="1"/>
    <col min="12546" max="12546" width="7.28515625" style="125" customWidth="1"/>
    <col min="12547" max="12547" width="61.42578125" style="125" bestFit="1" customWidth="1"/>
    <col min="12548" max="12548" width="9.140625" style="125" customWidth="1"/>
    <col min="12549" max="12549" width="6.7109375" style="125" customWidth="1"/>
    <col min="12550" max="12550" width="6.5703125" style="125" customWidth="1"/>
    <col min="12551" max="12551" width="8.7109375" style="125" customWidth="1"/>
    <col min="12552" max="12553" width="8.7109375" style="125" bestFit="1" customWidth="1"/>
    <col min="12554" max="12554" width="10.85546875" style="125" customWidth="1"/>
    <col min="12555" max="12555" width="11.5703125" style="125" customWidth="1"/>
    <col min="12556" max="12556" width="15.7109375" style="125" customWidth="1"/>
    <col min="12557" max="12800" width="10.7109375" style="125"/>
    <col min="12801" max="12801" width="12.7109375" style="125" customWidth="1"/>
    <col min="12802" max="12802" width="7.28515625" style="125" customWidth="1"/>
    <col min="12803" max="12803" width="61.42578125" style="125" bestFit="1" customWidth="1"/>
    <col min="12804" max="12804" width="9.140625" style="125" customWidth="1"/>
    <col min="12805" max="12805" width="6.7109375" style="125" customWidth="1"/>
    <col min="12806" max="12806" width="6.5703125" style="125" customWidth="1"/>
    <col min="12807" max="12807" width="8.7109375" style="125" customWidth="1"/>
    <col min="12808" max="12809" width="8.7109375" style="125" bestFit="1" customWidth="1"/>
    <col min="12810" max="12810" width="10.85546875" style="125" customWidth="1"/>
    <col min="12811" max="12811" width="11.5703125" style="125" customWidth="1"/>
    <col min="12812" max="12812" width="15.7109375" style="125" customWidth="1"/>
    <col min="12813" max="13056" width="10.7109375" style="125"/>
    <col min="13057" max="13057" width="12.7109375" style="125" customWidth="1"/>
    <col min="13058" max="13058" width="7.28515625" style="125" customWidth="1"/>
    <col min="13059" max="13059" width="61.42578125" style="125" bestFit="1" customWidth="1"/>
    <col min="13060" max="13060" width="9.140625" style="125" customWidth="1"/>
    <col min="13061" max="13061" width="6.7109375" style="125" customWidth="1"/>
    <col min="13062" max="13062" width="6.5703125" style="125" customWidth="1"/>
    <col min="13063" max="13063" width="8.7109375" style="125" customWidth="1"/>
    <col min="13064" max="13065" width="8.7109375" style="125" bestFit="1" customWidth="1"/>
    <col min="13066" max="13066" width="10.85546875" style="125" customWidth="1"/>
    <col min="13067" max="13067" width="11.5703125" style="125" customWidth="1"/>
    <col min="13068" max="13068" width="15.7109375" style="125" customWidth="1"/>
    <col min="13069" max="13312" width="10.7109375" style="125"/>
    <col min="13313" max="13313" width="12.7109375" style="125" customWidth="1"/>
    <col min="13314" max="13314" width="7.28515625" style="125" customWidth="1"/>
    <col min="13315" max="13315" width="61.42578125" style="125" bestFit="1" customWidth="1"/>
    <col min="13316" max="13316" width="9.140625" style="125" customWidth="1"/>
    <col min="13317" max="13317" width="6.7109375" style="125" customWidth="1"/>
    <col min="13318" max="13318" width="6.5703125" style="125" customWidth="1"/>
    <col min="13319" max="13319" width="8.7109375" style="125" customWidth="1"/>
    <col min="13320" max="13321" width="8.7109375" style="125" bestFit="1" customWidth="1"/>
    <col min="13322" max="13322" width="10.85546875" style="125" customWidth="1"/>
    <col min="13323" max="13323" width="11.5703125" style="125" customWidth="1"/>
    <col min="13324" max="13324" width="15.7109375" style="125" customWidth="1"/>
    <col min="13325" max="13568" width="10.7109375" style="125"/>
    <col min="13569" max="13569" width="12.7109375" style="125" customWidth="1"/>
    <col min="13570" max="13570" width="7.28515625" style="125" customWidth="1"/>
    <col min="13571" max="13571" width="61.42578125" style="125" bestFit="1" customWidth="1"/>
    <col min="13572" max="13572" width="9.140625" style="125" customWidth="1"/>
    <col min="13573" max="13573" width="6.7109375" style="125" customWidth="1"/>
    <col min="13574" max="13574" width="6.5703125" style="125" customWidth="1"/>
    <col min="13575" max="13575" width="8.7109375" style="125" customWidth="1"/>
    <col min="13576" max="13577" width="8.7109375" style="125" bestFit="1" customWidth="1"/>
    <col min="13578" max="13578" width="10.85546875" style="125" customWidth="1"/>
    <col min="13579" max="13579" width="11.5703125" style="125" customWidth="1"/>
    <col min="13580" max="13580" width="15.7109375" style="125" customWidth="1"/>
    <col min="13581" max="13824" width="10.7109375" style="125"/>
    <col min="13825" max="13825" width="12.7109375" style="125" customWidth="1"/>
    <col min="13826" max="13826" width="7.28515625" style="125" customWidth="1"/>
    <col min="13827" max="13827" width="61.42578125" style="125" bestFit="1" customWidth="1"/>
    <col min="13828" max="13828" width="9.140625" style="125" customWidth="1"/>
    <col min="13829" max="13829" width="6.7109375" style="125" customWidth="1"/>
    <col min="13830" max="13830" width="6.5703125" style="125" customWidth="1"/>
    <col min="13831" max="13831" width="8.7109375" style="125" customWidth="1"/>
    <col min="13832" max="13833" width="8.7109375" style="125" bestFit="1" customWidth="1"/>
    <col min="13834" max="13834" width="10.85546875" style="125" customWidth="1"/>
    <col min="13835" max="13835" width="11.5703125" style="125" customWidth="1"/>
    <col min="13836" max="13836" width="15.7109375" style="125" customWidth="1"/>
    <col min="13837" max="14080" width="10.7109375" style="125"/>
    <col min="14081" max="14081" width="12.7109375" style="125" customWidth="1"/>
    <col min="14082" max="14082" width="7.28515625" style="125" customWidth="1"/>
    <col min="14083" max="14083" width="61.42578125" style="125" bestFit="1" customWidth="1"/>
    <col min="14084" max="14084" width="9.140625" style="125" customWidth="1"/>
    <col min="14085" max="14085" width="6.7109375" style="125" customWidth="1"/>
    <col min="14086" max="14086" width="6.5703125" style="125" customWidth="1"/>
    <col min="14087" max="14087" width="8.7109375" style="125" customWidth="1"/>
    <col min="14088" max="14089" width="8.7109375" style="125" bestFit="1" customWidth="1"/>
    <col min="14090" max="14090" width="10.85546875" style="125" customWidth="1"/>
    <col min="14091" max="14091" width="11.5703125" style="125" customWidth="1"/>
    <col min="14092" max="14092" width="15.7109375" style="125" customWidth="1"/>
    <col min="14093" max="14336" width="10.7109375" style="125"/>
    <col min="14337" max="14337" width="12.7109375" style="125" customWidth="1"/>
    <col min="14338" max="14338" width="7.28515625" style="125" customWidth="1"/>
    <col min="14339" max="14339" width="61.42578125" style="125" bestFit="1" customWidth="1"/>
    <col min="14340" max="14340" width="9.140625" style="125" customWidth="1"/>
    <col min="14341" max="14341" width="6.7109375" style="125" customWidth="1"/>
    <col min="14342" max="14342" width="6.5703125" style="125" customWidth="1"/>
    <col min="14343" max="14343" width="8.7109375" style="125" customWidth="1"/>
    <col min="14344" max="14345" width="8.7109375" style="125" bestFit="1" customWidth="1"/>
    <col min="14346" max="14346" width="10.85546875" style="125" customWidth="1"/>
    <col min="14347" max="14347" width="11.5703125" style="125" customWidth="1"/>
    <col min="14348" max="14348" width="15.7109375" style="125" customWidth="1"/>
    <col min="14349" max="14592" width="10.7109375" style="125"/>
    <col min="14593" max="14593" width="12.7109375" style="125" customWidth="1"/>
    <col min="14594" max="14594" width="7.28515625" style="125" customWidth="1"/>
    <col min="14595" max="14595" width="61.42578125" style="125" bestFit="1" customWidth="1"/>
    <col min="14596" max="14596" width="9.140625" style="125" customWidth="1"/>
    <col min="14597" max="14597" width="6.7109375" style="125" customWidth="1"/>
    <col min="14598" max="14598" width="6.5703125" style="125" customWidth="1"/>
    <col min="14599" max="14599" width="8.7109375" style="125" customWidth="1"/>
    <col min="14600" max="14601" width="8.7109375" style="125" bestFit="1" customWidth="1"/>
    <col min="14602" max="14602" width="10.85546875" style="125" customWidth="1"/>
    <col min="14603" max="14603" width="11.5703125" style="125" customWidth="1"/>
    <col min="14604" max="14604" width="15.7109375" style="125" customWidth="1"/>
    <col min="14605" max="14848" width="10.7109375" style="125"/>
    <col min="14849" max="14849" width="12.7109375" style="125" customWidth="1"/>
    <col min="14850" max="14850" width="7.28515625" style="125" customWidth="1"/>
    <col min="14851" max="14851" width="61.42578125" style="125" bestFit="1" customWidth="1"/>
    <col min="14852" max="14852" width="9.140625" style="125" customWidth="1"/>
    <col min="14853" max="14853" width="6.7109375" style="125" customWidth="1"/>
    <col min="14854" max="14854" width="6.5703125" style="125" customWidth="1"/>
    <col min="14855" max="14855" width="8.7109375" style="125" customWidth="1"/>
    <col min="14856" max="14857" width="8.7109375" style="125" bestFit="1" customWidth="1"/>
    <col min="14858" max="14858" width="10.85546875" style="125" customWidth="1"/>
    <col min="14859" max="14859" width="11.5703125" style="125" customWidth="1"/>
    <col min="14860" max="14860" width="15.7109375" style="125" customWidth="1"/>
    <col min="14861" max="15104" width="10.7109375" style="125"/>
    <col min="15105" max="15105" width="12.7109375" style="125" customWidth="1"/>
    <col min="15106" max="15106" width="7.28515625" style="125" customWidth="1"/>
    <col min="15107" max="15107" width="61.42578125" style="125" bestFit="1" customWidth="1"/>
    <col min="15108" max="15108" width="9.140625" style="125" customWidth="1"/>
    <col min="15109" max="15109" width="6.7109375" style="125" customWidth="1"/>
    <col min="15110" max="15110" width="6.5703125" style="125" customWidth="1"/>
    <col min="15111" max="15111" width="8.7109375" style="125" customWidth="1"/>
    <col min="15112" max="15113" width="8.7109375" style="125" bestFit="1" customWidth="1"/>
    <col min="15114" max="15114" width="10.85546875" style="125" customWidth="1"/>
    <col min="15115" max="15115" width="11.5703125" style="125" customWidth="1"/>
    <col min="15116" max="15116" width="15.7109375" style="125" customWidth="1"/>
    <col min="15117" max="15360" width="10.7109375" style="125"/>
    <col min="15361" max="15361" width="12.7109375" style="125" customWidth="1"/>
    <col min="15362" max="15362" width="7.28515625" style="125" customWidth="1"/>
    <col min="15363" max="15363" width="61.42578125" style="125" bestFit="1" customWidth="1"/>
    <col min="15364" max="15364" width="9.140625" style="125" customWidth="1"/>
    <col min="15365" max="15365" width="6.7109375" style="125" customWidth="1"/>
    <col min="15366" max="15366" width="6.5703125" style="125" customWidth="1"/>
    <col min="15367" max="15367" width="8.7109375" style="125" customWidth="1"/>
    <col min="15368" max="15369" width="8.7109375" style="125" bestFit="1" customWidth="1"/>
    <col min="15370" max="15370" width="10.85546875" style="125" customWidth="1"/>
    <col min="15371" max="15371" width="11.5703125" style="125" customWidth="1"/>
    <col min="15372" max="15372" width="15.7109375" style="125" customWidth="1"/>
    <col min="15373" max="15616" width="10.7109375" style="125"/>
    <col min="15617" max="15617" width="12.7109375" style="125" customWidth="1"/>
    <col min="15618" max="15618" width="7.28515625" style="125" customWidth="1"/>
    <col min="15619" max="15619" width="61.42578125" style="125" bestFit="1" customWidth="1"/>
    <col min="15620" max="15620" width="9.140625" style="125" customWidth="1"/>
    <col min="15621" max="15621" width="6.7109375" style="125" customWidth="1"/>
    <col min="15622" max="15622" width="6.5703125" style="125" customWidth="1"/>
    <col min="15623" max="15623" width="8.7109375" style="125" customWidth="1"/>
    <col min="15624" max="15625" width="8.7109375" style="125" bestFit="1" customWidth="1"/>
    <col min="15626" max="15626" width="10.85546875" style="125" customWidth="1"/>
    <col min="15627" max="15627" width="11.5703125" style="125" customWidth="1"/>
    <col min="15628" max="15628" width="15.7109375" style="125" customWidth="1"/>
    <col min="15629" max="15872" width="10.7109375" style="125"/>
    <col min="15873" max="15873" width="12.7109375" style="125" customWidth="1"/>
    <col min="15874" max="15874" width="7.28515625" style="125" customWidth="1"/>
    <col min="15875" max="15875" width="61.42578125" style="125" bestFit="1" customWidth="1"/>
    <col min="15876" max="15876" width="9.140625" style="125" customWidth="1"/>
    <col min="15877" max="15877" width="6.7109375" style="125" customWidth="1"/>
    <col min="15878" max="15878" width="6.5703125" style="125" customWidth="1"/>
    <col min="15879" max="15879" width="8.7109375" style="125" customWidth="1"/>
    <col min="15880" max="15881" width="8.7109375" style="125" bestFit="1" customWidth="1"/>
    <col min="15882" max="15882" width="10.85546875" style="125" customWidth="1"/>
    <col min="15883" max="15883" width="11.5703125" style="125" customWidth="1"/>
    <col min="15884" max="15884" width="15.7109375" style="125" customWidth="1"/>
    <col min="15885" max="16128" width="10.7109375" style="125"/>
    <col min="16129" max="16129" width="12.7109375" style="125" customWidth="1"/>
    <col min="16130" max="16130" width="7.28515625" style="125" customWidth="1"/>
    <col min="16131" max="16131" width="61.42578125" style="125" bestFit="1" customWidth="1"/>
    <col min="16132" max="16132" width="9.140625" style="125" customWidth="1"/>
    <col min="16133" max="16133" width="6.7109375" style="125" customWidth="1"/>
    <col min="16134" max="16134" width="6.5703125" style="125" customWidth="1"/>
    <col min="16135" max="16135" width="8.7109375" style="125" customWidth="1"/>
    <col min="16136" max="16137" width="8.7109375" style="125" bestFit="1" customWidth="1"/>
    <col min="16138" max="16138" width="10.85546875" style="125" customWidth="1"/>
    <col min="16139" max="16139" width="11.5703125" style="125" customWidth="1"/>
    <col min="16140" max="16140" width="15.7109375" style="125" customWidth="1"/>
    <col min="16141" max="16384" width="10.7109375" style="125"/>
  </cols>
  <sheetData>
    <row r="1" spans="1:12" ht="19.5" thickTop="1" thickBot="1">
      <c r="A1" s="194" t="s">
        <v>1075</v>
      </c>
      <c r="B1" s="195"/>
      <c r="C1" s="195"/>
      <c r="D1" s="195"/>
      <c r="E1" s="195"/>
      <c r="F1" s="196" t="s">
        <v>1067</v>
      </c>
      <c r="G1" s="197"/>
      <c r="H1" s="197"/>
      <c r="I1" s="239" t="s">
        <v>1076</v>
      </c>
      <c r="K1" s="195"/>
      <c r="L1" s="198"/>
    </row>
    <row r="2" spans="1:12">
      <c r="A2" s="606" t="s">
        <v>1003</v>
      </c>
      <c r="B2" s="607"/>
      <c r="C2" s="199" t="s">
        <v>1001</v>
      </c>
      <c r="D2" s="200"/>
      <c r="E2" s="200"/>
      <c r="F2" s="200"/>
      <c r="G2" s="200"/>
      <c r="H2" s="200"/>
      <c r="I2" s="200"/>
      <c r="J2" s="200"/>
      <c r="K2" s="200"/>
      <c r="L2" s="201"/>
    </row>
    <row r="3" spans="1:12" ht="15.75" thickBot="1">
      <c r="A3" s="608"/>
      <c r="B3" s="609"/>
      <c r="C3" s="610"/>
      <c r="D3" s="611"/>
      <c r="E3" s="611"/>
      <c r="F3" s="611"/>
      <c r="G3" s="611"/>
      <c r="H3" s="611"/>
      <c r="I3" s="611"/>
      <c r="J3" s="612" t="s">
        <v>1004</v>
      </c>
      <c r="K3" s="613"/>
      <c r="L3" s="202" t="s">
        <v>340</v>
      </c>
    </row>
    <row r="4" spans="1:12">
      <c r="A4" s="578" t="s">
        <v>1005</v>
      </c>
      <c r="B4" s="584" t="s">
        <v>1006</v>
      </c>
      <c r="C4" s="582" t="s">
        <v>1007</v>
      </c>
      <c r="D4" s="582" t="s">
        <v>1008</v>
      </c>
      <c r="E4" s="582" t="s">
        <v>1009</v>
      </c>
      <c r="F4" s="582"/>
      <c r="G4" s="582"/>
      <c r="H4" s="582"/>
      <c r="I4" s="582"/>
      <c r="J4" s="582" t="s">
        <v>1010</v>
      </c>
      <c r="K4" s="582"/>
      <c r="L4" s="614"/>
    </row>
    <row r="5" spans="1:12">
      <c r="A5" s="579"/>
      <c r="B5" s="585"/>
      <c r="C5" s="583"/>
      <c r="D5" s="583"/>
      <c r="E5" s="583" t="s">
        <v>36</v>
      </c>
      <c r="F5" s="583"/>
      <c r="G5" s="583"/>
      <c r="H5" s="203" t="s">
        <v>1011</v>
      </c>
      <c r="I5" s="204" t="s">
        <v>1012</v>
      </c>
      <c r="J5" s="203" t="s">
        <v>1013</v>
      </c>
      <c r="K5" s="203" t="s">
        <v>1014</v>
      </c>
      <c r="L5" s="205" t="s">
        <v>1015</v>
      </c>
    </row>
    <row r="6" spans="1:12">
      <c r="A6" s="206"/>
      <c r="B6" s="207"/>
      <c r="C6" s="208"/>
      <c r="D6" s="209"/>
      <c r="E6" s="594"/>
      <c r="F6" s="604"/>
      <c r="G6" s="595"/>
      <c r="H6" s="210"/>
      <c r="I6" s="210"/>
      <c r="J6" s="210"/>
      <c r="K6" s="210"/>
      <c r="L6" s="210">
        <f>E6*J6*1.0815</f>
        <v>0</v>
      </c>
    </row>
    <row r="7" spans="1:12">
      <c r="A7" s="211"/>
      <c r="B7" s="212"/>
      <c r="C7" s="213"/>
      <c r="D7" s="214"/>
      <c r="E7" s="605"/>
      <c r="F7" s="605"/>
      <c r="G7" s="605"/>
      <c r="H7" s="215"/>
      <c r="I7" s="215"/>
      <c r="J7" s="215"/>
      <c r="K7" s="215"/>
      <c r="L7" s="216"/>
    </row>
    <row r="8" spans="1:12">
      <c r="A8" s="574" t="s">
        <v>1016</v>
      </c>
      <c r="B8" s="575"/>
      <c r="C8" s="576"/>
      <c r="D8" s="576"/>
      <c r="E8" s="576"/>
      <c r="F8" s="576"/>
      <c r="G8" s="576"/>
      <c r="H8" s="576"/>
      <c r="I8" s="576"/>
      <c r="J8" s="576"/>
      <c r="K8" s="576"/>
      <c r="L8" s="217">
        <f>SUM(L6:L7)</f>
        <v>0</v>
      </c>
    </row>
    <row r="9" spans="1:12" ht="25.5">
      <c r="A9" s="218" t="s">
        <v>1005</v>
      </c>
      <c r="B9" s="219" t="s">
        <v>1006</v>
      </c>
      <c r="C9" s="220" t="s">
        <v>1017</v>
      </c>
      <c r="D9" s="220" t="s">
        <v>1018</v>
      </c>
      <c r="E9" s="589" t="s">
        <v>1019</v>
      </c>
      <c r="F9" s="590"/>
      <c r="G9" s="590"/>
      <c r="H9" s="590"/>
      <c r="I9" s="591"/>
      <c r="J9" s="589" t="s">
        <v>1020</v>
      </c>
      <c r="K9" s="591"/>
      <c r="L9" s="221" t="s">
        <v>1021</v>
      </c>
    </row>
    <row r="10" spans="1:12">
      <c r="A10" s="238" t="s">
        <v>1060</v>
      </c>
      <c r="B10" s="222" t="s">
        <v>1058</v>
      </c>
      <c r="C10" s="208" t="s">
        <v>1061</v>
      </c>
      <c r="D10" s="210" t="s">
        <v>20</v>
      </c>
      <c r="E10" s="592">
        <v>24</v>
      </c>
      <c r="F10" s="592"/>
      <c r="G10" s="592"/>
      <c r="H10" s="592"/>
      <c r="I10" s="592"/>
      <c r="J10" s="600">
        <v>17.88</v>
      </c>
      <c r="K10" s="600"/>
      <c r="L10" s="224">
        <f>ROUND(J10*E10,2)</f>
        <v>429.12</v>
      </c>
    </row>
    <row r="11" spans="1:12">
      <c r="A11" s="210">
        <v>10124</v>
      </c>
      <c r="B11" s="222" t="s">
        <v>1058</v>
      </c>
      <c r="C11" s="208" t="s">
        <v>1068</v>
      </c>
      <c r="D11" s="210" t="s">
        <v>20</v>
      </c>
      <c r="E11" s="592">
        <v>24</v>
      </c>
      <c r="F11" s="592"/>
      <c r="G11" s="592"/>
      <c r="H11" s="592"/>
      <c r="I11" s="592"/>
      <c r="J11" s="599">
        <v>24.1</v>
      </c>
      <c r="K11" s="599"/>
      <c r="L11" s="224">
        <f>ROUND(J11*E11,2)</f>
        <v>578.4</v>
      </c>
    </row>
    <row r="12" spans="1:12">
      <c r="A12" s="212"/>
      <c r="B12" s="212"/>
      <c r="C12" s="225"/>
      <c r="D12" s="212"/>
      <c r="E12" s="602"/>
      <c r="F12" s="602"/>
      <c r="G12" s="602"/>
      <c r="H12" s="602"/>
      <c r="I12" s="602"/>
      <c r="J12" s="603"/>
      <c r="K12" s="603"/>
      <c r="L12" s="226"/>
    </row>
    <row r="13" spans="1:12" ht="15.75" thickBot="1">
      <c r="A13" s="574" t="s">
        <v>1024</v>
      </c>
      <c r="B13" s="575"/>
      <c r="C13" s="576"/>
      <c r="D13" s="576"/>
      <c r="E13" s="576"/>
      <c r="F13" s="576"/>
      <c r="G13" s="576"/>
      <c r="H13" s="576"/>
      <c r="I13" s="576"/>
      <c r="J13" s="576"/>
      <c r="K13" s="576"/>
      <c r="L13" s="227">
        <f>SUM(L10:L12)</f>
        <v>1007.52</v>
      </c>
    </row>
    <row r="14" spans="1:12" ht="15.75" thickBot="1">
      <c r="A14" s="596" t="s">
        <v>1025</v>
      </c>
      <c r="B14" s="597"/>
      <c r="C14" s="597"/>
      <c r="D14" s="597"/>
      <c r="E14" s="597"/>
      <c r="F14" s="597"/>
      <c r="G14" s="597"/>
      <c r="H14" s="597"/>
      <c r="I14" s="597"/>
      <c r="J14" s="597"/>
      <c r="K14" s="598"/>
      <c r="L14" s="228">
        <f>L13*0.05</f>
        <v>50.38</v>
      </c>
    </row>
    <row r="15" spans="1:12" ht="15.75" thickBot="1">
      <c r="A15" s="574" t="s">
        <v>1026</v>
      </c>
      <c r="B15" s="575"/>
      <c r="C15" s="576"/>
      <c r="D15" s="576"/>
      <c r="E15" s="576"/>
      <c r="F15" s="576"/>
      <c r="G15" s="576"/>
      <c r="H15" s="576"/>
      <c r="I15" s="576"/>
      <c r="J15" s="576"/>
      <c r="K15" s="576"/>
      <c r="L15" s="229">
        <v>1</v>
      </c>
    </row>
    <row r="16" spans="1:12" ht="15.75" thickBot="1">
      <c r="A16" s="596" t="s">
        <v>1027</v>
      </c>
      <c r="B16" s="597"/>
      <c r="C16" s="597"/>
      <c r="D16" s="597"/>
      <c r="E16" s="597"/>
      <c r="F16" s="597"/>
      <c r="G16" s="597"/>
      <c r="H16" s="597"/>
      <c r="I16" s="597"/>
      <c r="J16" s="597"/>
      <c r="K16" s="598"/>
      <c r="L16" s="228">
        <f>ROUND((L8+L13+L14)/L15,2)</f>
        <v>1057.9000000000001</v>
      </c>
    </row>
    <row r="17" spans="1:12">
      <c r="A17" s="218" t="s">
        <v>1005</v>
      </c>
      <c r="B17" s="219" t="s">
        <v>1006</v>
      </c>
      <c r="C17" s="220" t="s">
        <v>1028</v>
      </c>
      <c r="D17" s="220" t="s">
        <v>1018</v>
      </c>
      <c r="E17" s="589" t="s">
        <v>1029</v>
      </c>
      <c r="F17" s="590"/>
      <c r="G17" s="590"/>
      <c r="H17" s="590"/>
      <c r="I17" s="591"/>
      <c r="J17" s="589" t="s">
        <v>1030</v>
      </c>
      <c r="K17" s="591"/>
      <c r="L17" s="221" t="s">
        <v>1031</v>
      </c>
    </row>
    <row r="18" spans="1:12" ht="25.5">
      <c r="A18" s="210">
        <v>32505</v>
      </c>
      <c r="B18" s="222" t="s">
        <v>1058</v>
      </c>
      <c r="C18" s="223" t="s">
        <v>1069</v>
      </c>
      <c r="D18" s="210" t="s">
        <v>35</v>
      </c>
      <c r="E18" s="577">
        <f>((2.5+2.5+0.5+0.5)*0.43)+(2.5*0.5)</f>
        <v>3.83</v>
      </c>
      <c r="F18" s="577"/>
      <c r="G18" s="577"/>
      <c r="H18" s="577"/>
      <c r="I18" s="577"/>
      <c r="J18" s="593">
        <v>253.83</v>
      </c>
      <c r="K18" s="593"/>
      <c r="L18" s="224">
        <f>E18*J18</f>
        <v>972.17</v>
      </c>
    </row>
    <row r="19" spans="1:12" ht="25.5">
      <c r="A19" s="210">
        <v>20732</v>
      </c>
      <c r="B19" s="222" t="s">
        <v>1058</v>
      </c>
      <c r="C19" s="223" t="s">
        <v>1070</v>
      </c>
      <c r="D19" s="210" t="s">
        <v>76</v>
      </c>
      <c r="E19" s="577">
        <f>1.5*E18</f>
        <v>5.75</v>
      </c>
      <c r="F19" s="577"/>
      <c r="G19" s="577"/>
      <c r="H19" s="577"/>
      <c r="I19" s="577"/>
      <c r="J19" s="593">
        <v>2.38</v>
      </c>
      <c r="K19" s="593"/>
      <c r="L19" s="224">
        <f>E19*J19</f>
        <v>13.69</v>
      </c>
    </row>
    <row r="20" spans="1:12">
      <c r="A20" s="574" t="s">
        <v>1024</v>
      </c>
      <c r="B20" s="575"/>
      <c r="C20" s="576"/>
      <c r="D20" s="576"/>
      <c r="E20" s="576"/>
      <c r="F20" s="576"/>
      <c r="G20" s="576"/>
      <c r="H20" s="576"/>
      <c r="I20" s="576"/>
      <c r="J20" s="576"/>
      <c r="K20" s="576"/>
      <c r="L20" s="227">
        <f>SUM(L18:L19)</f>
        <v>985.86</v>
      </c>
    </row>
    <row r="21" spans="1:12">
      <c r="A21" s="218" t="s">
        <v>1005</v>
      </c>
      <c r="B21" s="219" t="s">
        <v>1006</v>
      </c>
      <c r="C21" s="220" t="s">
        <v>1037</v>
      </c>
      <c r="D21" s="220" t="s">
        <v>1018</v>
      </c>
      <c r="E21" s="589" t="s">
        <v>1029</v>
      </c>
      <c r="F21" s="590"/>
      <c r="G21" s="590"/>
      <c r="H21" s="590"/>
      <c r="I21" s="591"/>
      <c r="J21" s="589" t="s">
        <v>1030</v>
      </c>
      <c r="K21" s="591"/>
      <c r="L21" s="221" t="s">
        <v>1031</v>
      </c>
    </row>
    <row r="22" spans="1:12" ht="38.25">
      <c r="A22" s="210">
        <v>50501</v>
      </c>
      <c r="B22" s="222" t="s">
        <v>1058</v>
      </c>
      <c r="C22" s="223" t="s">
        <v>1071</v>
      </c>
      <c r="D22" s="210" t="s">
        <v>35</v>
      </c>
      <c r="E22" s="577">
        <f>0.35*4*2.5</f>
        <v>3.5</v>
      </c>
      <c r="F22" s="577"/>
      <c r="G22" s="577"/>
      <c r="H22" s="577"/>
      <c r="I22" s="577"/>
      <c r="J22" s="600">
        <v>5.6</v>
      </c>
      <c r="K22" s="600"/>
      <c r="L22" s="232">
        <f>J22*E22</f>
        <v>19.600000000000001</v>
      </c>
    </row>
    <row r="23" spans="1:12" ht="25.5">
      <c r="A23" s="210">
        <v>110101</v>
      </c>
      <c r="B23" s="222" t="s">
        <v>1058</v>
      </c>
      <c r="C23" s="223" t="s">
        <v>1072</v>
      </c>
      <c r="D23" s="210" t="s">
        <v>35</v>
      </c>
      <c r="E23" s="577">
        <f>((2.5+2.5+0.5+0.5)*0.43)+(2.5*0.5)</f>
        <v>3.83</v>
      </c>
      <c r="F23" s="577"/>
      <c r="G23" s="577"/>
      <c r="H23" s="577"/>
      <c r="I23" s="577"/>
      <c r="J23" s="600">
        <v>14.2</v>
      </c>
      <c r="K23" s="600"/>
      <c r="L23" s="232">
        <f>J23*E23</f>
        <v>54.39</v>
      </c>
    </row>
    <row r="24" spans="1:12" ht="25.5">
      <c r="A24" s="210">
        <v>110302</v>
      </c>
      <c r="B24" s="222" t="s">
        <v>1058</v>
      </c>
      <c r="C24" s="223" t="s">
        <v>1073</v>
      </c>
      <c r="D24" s="210" t="s">
        <v>35</v>
      </c>
      <c r="E24" s="577">
        <f>((2.5+2.5+0.5+0.5)*0.43)+(2.5*0.5)</f>
        <v>3.83</v>
      </c>
      <c r="F24" s="577"/>
      <c r="G24" s="577"/>
      <c r="H24" s="577"/>
      <c r="I24" s="577"/>
      <c r="J24" s="600">
        <v>68.2</v>
      </c>
      <c r="K24" s="600"/>
      <c r="L24" s="232">
        <f>J24*E24</f>
        <v>261.20999999999998</v>
      </c>
    </row>
    <row r="25" spans="1:12" ht="25.5">
      <c r="A25" s="210">
        <v>130109</v>
      </c>
      <c r="B25" s="222" t="s">
        <v>1058</v>
      </c>
      <c r="C25" s="223" t="s">
        <v>1074</v>
      </c>
      <c r="D25" s="210" t="s">
        <v>35</v>
      </c>
      <c r="E25" s="577">
        <f>2.5*0.5</f>
        <v>1.25</v>
      </c>
      <c r="F25" s="577"/>
      <c r="G25" s="577"/>
      <c r="H25" s="577"/>
      <c r="I25" s="577"/>
      <c r="J25" s="600">
        <v>83.67</v>
      </c>
      <c r="K25" s="600"/>
      <c r="L25" s="232">
        <f>J25*E25</f>
        <v>104.59</v>
      </c>
    </row>
    <row r="26" spans="1:12" ht="15.75" thickBot="1">
      <c r="A26" s="574" t="s">
        <v>1024</v>
      </c>
      <c r="B26" s="575"/>
      <c r="C26" s="576"/>
      <c r="D26" s="576"/>
      <c r="E26" s="576"/>
      <c r="F26" s="576"/>
      <c r="G26" s="576"/>
      <c r="H26" s="576"/>
      <c r="I26" s="576"/>
      <c r="J26" s="576"/>
      <c r="K26" s="576"/>
      <c r="L26" s="227">
        <f>SUM(L22:L25)</f>
        <v>439.79</v>
      </c>
    </row>
    <row r="27" spans="1:12" ht="25.5">
      <c r="A27" s="578" t="s">
        <v>1005</v>
      </c>
      <c r="B27" s="580" t="s">
        <v>1006</v>
      </c>
      <c r="C27" s="582" t="s">
        <v>1039</v>
      </c>
      <c r="D27" s="582" t="s">
        <v>1018</v>
      </c>
      <c r="E27" s="233" t="s">
        <v>1040</v>
      </c>
      <c r="F27" s="233" t="s">
        <v>1040</v>
      </c>
      <c r="G27" s="584" t="s">
        <v>1041</v>
      </c>
      <c r="H27" s="586" t="s">
        <v>1042</v>
      </c>
      <c r="I27" s="587"/>
      <c r="J27" s="587"/>
      <c r="K27" s="588"/>
      <c r="L27" s="568" t="s">
        <v>1031</v>
      </c>
    </row>
    <row r="28" spans="1:12">
      <c r="A28" s="579"/>
      <c r="B28" s="581"/>
      <c r="C28" s="583"/>
      <c r="D28" s="583"/>
      <c r="E28" s="233" t="s">
        <v>1043</v>
      </c>
      <c r="F28" s="233" t="s">
        <v>1044</v>
      </c>
      <c r="G28" s="585"/>
      <c r="H28" s="570" t="s">
        <v>725</v>
      </c>
      <c r="I28" s="571"/>
      <c r="J28" s="570" t="s">
        <v>1030</v>
      </c>
      <c r="K28" s="571"/>
      <c r="L28" s="569"/>
    </row>
    <row r="29" spans="1:12">
      <c r="A29" s="234"/>
      <c r="B29" s="207"/>
      <c r="C29" s="235"/>
      <c r="D29" s="236"/>
      <c r="E29" s="236"/>
      <c r="F29" s="236"/>
      <c r="G29" s="236"/>
      <c r="H29" s="572"/>
      <c r="I29" s="572"/>
      <c r="J29" s="573"/>
      <c r="K29" s="573"/>
      <c r="L29" s="236">
        <f>G29*J29</f>
        <v>0</v>
      </c>
    </row>
    <row r="30" spans="1:12" ht="15.75" thickBot="1">
      <c r="A30" s="574" t="s">
        <v>1045</v>
      </c>
      <c r="B30" s="575"/>
      <c r="C30" s="576"/>
      <c r="D30" s="576"/>
      <c r="E30" s="576"/>
      <c r="F30" s="576"/>
      <c r="G30" s="576"/>
      <c r="H30" s="576"/>
      <c r="I30" s="576"/>
      <c r="J30" s="576"/>
      <c r="K30" s="576"/>
      <c r="L30" s="227">
        <f>SUM(L29:L29)</f>
        <v>0</v>
      </c>
    </row>
    <row r="31" spans="1:12" ht="15.75" thickBot="1">
      <c r="A31" s="562" t="s">
        <v>1046</v>
      </c>
      <c r="B31" s="563"/>
      <c r="C31" s="563"/>
      <c r="D31" s="563"/>
      <c r="E31" s="563"/>
      <c r="F31" s="563"/>
      <c r="G31" s="563"/>
      <c r="H31" s="563"/>
      <c r="I31" s="563"/>
      <c r="J31" s="563"/>
      <c r="K31" s="564"/>
      <c r="L31" s="228">
        <f>L16+L20+L26+L30</f>
        <v>2483.5500000000002</v>
      </c>
    </row>
    <row r="32" spans="1:12" ht="15.75" thickBot="1">
      <c r="A32" s="565" t="s">
        <v>1047</v>
      </c>
      <c r="B32" s="566"/>
      <c r="C32" s="566"/>
      <c r="D32" s="566"/>
      <c r="E32" s="566"/>
      <c r="F32" s="566"/>
      <c r="G32" s="566"/>
      <c r="H32" s="566"/>
      <c r="I32" s="566"/>
      <c r="J32" s="566"/>
      <c r="K32" s="567"/>
      <c r="L32" s="237">
        <f>L31</f>
        <v>2483.5500000000002</v>
      </c>
    </row>
  </sheetData>
  <mergeCells count="58">
    <mergeCell ref="A2:B2"/>
    <mergeCell ref="A3:C3"/>
    <mergeCell ref="D3:I3"/>
    <mergeCell ref="J3:K3"/>
    <mergeCell ref="A4:A5"/>
    <mergeCell ref="B4:B5"/>
    <mergeCell ref="C4:C5"/>
    <mergeCell ref="D4:D5"/>
    <mergeCell ref="E4:I4"/>
    <mergeCell ref="J4:L4"/>
    <mergeCell ref="E5:G5"/>
    <mergeCell ref="E6:G6"/>
    <mergeCell ref="E7:G7"/>
    <mergeCell ref="A8:K8"/>
    <mergeCell ref="E9:I9"/>
    <mergeCell ref="J9:K9"/>
    <mergeCell ref="E10:I10"/>
    <mergeCell ref="J10:K10"/>
    <mergeCell ref="E11:I11"/>
    <mergeCell ref="J11:K11"/>
    <mergeCell ref="E12:I12"/>
    <mergeCell ref="J12:K12"/>
    <mergeCell ref="E21:I21"/>
    <mergeCell ref="J21:K21"/>
    <mergeCell ref="A13:K13"/>
    <mergeCell ref="A14:K14"/>
    <mergeCell ref="A15:K15"/>
    <mergeCell ref="A16:K16"/>
    <mergeCell ref="E17:I17"/>
    <mergeCell ref="J17:K17"/>
    <mergeCell ref="E18:I18"/>
    <mergeCell ref="J18:K18"/>
    <mergeCell ref="E19:I19"/>
    <mergeCell ref="J19:K19"/>
    <mergeCell ref="A20:K20"/>
    <mergeCell ref="E22:I22"/>
    <mergeCell ref="J22:K22"/>
    <mergeCell ref="E23:I23"/>
    <mergeCell ref="J23:K23"/>
    <mergeCell ref="E24:I24"/>
    <mergeCell ref="J24:K24"/>
    <mergeCell ref="E25:I25"/>
    <mergeCell ref="J25:K25"/>
    <mergeCell ref="A26:K26"/>
    <mergeCell ref="A27:A28"/>
    <mergeCell ref="B27:B28"/>
    <mergeCell ref="C27:C28"/>
    <mergeCell ref="D27:D28"/>
    <mergeCell ref="G27:G28"/>
    <mergeCell ref="H27:K27"/>
    <mergeCell ref="A31:K31"/>
    <mergeCell ref="A32:K32"/>
    <mergeCell ref="L27:L28"/>
    <mergeCell ref="H28:I28"/>
    <mergeCell ref="J28:K28"/>
    <mergeCell ref="H29:I29"/>
    <mergeCell ref="J29:K29"/>
    <mergeCell ref="A30:K30"/>
  </mergeCells>
  <pageMargins left="0.511811024" right="0.511811024" top="0.78740157499999996" bottom="0.78740157499999996" header="0.31496062000000002" footer="0.3149606200000000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51"/>
  <sheetViews>
    <sheetView topLeftCell="N25" zoomScale="60" zoomScaleNormal="60" workbookViewId="0">
      <selection activeCell="AB47" sqref="AB47"/>
    </sheetView>
  </sheetViews>
  <sheetFormatPr defaultRowHeight="15"/>
  <cols>
    <col min="3" max="3" width="20.85546875" customWidth="1"/>
    <col min="4" max="4" width="13.42578125" bestFit="1" customWidth="1"/>
    <col min="5" max="5" width="17.28515625" bestFit="1" customWidth="1"/>
    <col min="6" max="6" width="17.7109375" bestFit="1" customWidth="1"/>
    <col min="7" max="7" width="17.28515625" bestFit="1" customWidth="1"/>
    <col min="8" max="8" width="17.7109375" bestFit="1" customWidth="1"/>
    <col min="9" max="9" width="18.42578125" customWidth="1"/>
    <col min="10" max="10" width="19.140625" bestFit="1" customWidth="1"/>
    <col min="11" max="12" width="18.7109375" bestFit="1" customWidth="1"/>
    <col min="13" max="13" width="18.85546875" customWidth="1"/>
    <col min="14" max="14" width="19.140625" bestFit="1" customWidth="1"/>
    <col min="15" max="17" width="18.7109375" bestFit="1" customWidth="1"/>
    <col min="18" max="19" width="19.5703125" bestFit="1" customWidth="1"/>
    <col min="20" max="20" width="19.140625" bestFit="1" customWidth="1"/>
    <col min="21" max="21" width="19.5703125" bestFit="1" customWidth="1"/>
    <col min="22" max="22" width="19.140625" bestFit="1" customWidth="1"/>
    <col min="23" max="27" width="19.5703125" bestFit="1" customWidth="1"/>
    <col min="28" max="29" width="19.140625" bestFit="1" customWidth="1"/>
    <col min="30" max="30" width="17.7109375" customWidth="1"/>
  </cols>
  <sheetData>
    <row r="1" spans="1:30" ht="197.25" customHeight="1">
      <c r="A1" s="620" t="s">
        <v>628</v>
      </c>
      <c r="B1" s="621"/>
      <c r="C1" s="621"/>
      <c r="D1" s="621"/>
      <c r="E1" s="621"/>
      <c r="F1" s="621"/>
      <c r="G1" s="621"/>
      <c r="H1" s="621"/>
      <c r="I1" s="621"/>
      <c r="J1" s="621"/>
      <c r="K1" s="621"/>
      <c r="L1" s="621"/>
      <c r="M1" s="621"/>
      <c r="N1" s="621"/>
      <c r="O1" s="621"/>
      <c r="P1" s="621"/>
      <c r="Q1" s="621"/>
      <c r="R1" s="621"/>
      <c r="S1" s="621"/>
      <c r="T1" s="621"/>
      <c r="U1" s="621"/>
      <c r="V1" s="621"/>
      <c r="W1" s="621"/>
      <c r="X1" s="621"/>
      <c r="Y1" s="621"/>
      <c r="Z1" s="621"/>
      <c r="AA1" s="621"/>
      <c r="AB1" s="621"/>
      <c r="AC1" s="622"/>
    </row>
    <row r="2" spans="1:30" ht="39">
      <c r="A2" s="619" t="s">
        <v>627</v>
      </c>
      <c r="B2" s="619"/>
      <c r="C2" s="619"/>
      <c r="D2" s="619"/>
      <c r="E2" s="619"/>
      <c r="F2" s="619"/>
      <c r="G2" s="619"/>
      <c r="H2" s="619"/>
      <c r="I2" s="619"/>
      <c r="J2" s="619"/>
      <c r="K2" s="619"/>
      <c r="L2" s="619"/>
      <c r="M2" s="619"/>
      <c r="N2" s="619"/>
      <c r="O2" s="619"/>
      <c r="P2" s="619"/>
      <c r="Q2" s="619"/>
      <c r="R2" s="619"/>
      <c r="S2" s="619"/>
      <c r="T2" s="619"/>
      <c r="U2" s="619"/>
      <c r="V2" s="619"/>
      <c r="W2" s="619"/>
      <c r="X2" s="619"/>
      <c r="Y2" s="619"/>
      <c r="Z2" s="619"/>
      <c r="AA2" s="619"/>
      <c r="AB2" s="619"/>
      <c r="AC2" s="619"/>
    </row>
    <row r="3" spans="1:30" ht="24" customHeight="1">
      <c r="A3" s="155" t="s">
        <v>594</v>
      </c>
      <c r="B3" s="156"/>
      <c r="C3" s="156"/>
      <c r="D3" s="156"/>
      <c r="E3" s="156"/>
      <c r="F3" s="156"/>
      <c r="G3" s="156"/>
      <c r="H3" s="156"/>
      <c r="I3" s="157"/>
      <c r="J3" s="156"/>
      <c r="K3" s="156"/>
      <c r="L3" s="156"/>
      <c r="M3" s="156"/>
      <c r="N3" s="156"/>
      <c r="O3" s="156"/>
      <c r="P3" s="156"/>
      <c r="Q3" s="156"/>
      <c r="R3" s="156"/>
      <c r="S3" s="156"/>
      <c r="T3" s="156"/>
      <c r="U3" s="156"/>
      <c r="V3" s="156"/>
      <c r="W3" s="156"/>
      <c r="X3" s="156"/>
      <c r="Y3" s="156"/>
      <c r="Z3" s="156"/>
      <c r="AA3" s="156"/>
      <c r="AB3" s="156"/>
      <c r="AC3" s="156"/>
    </row>
    <row r="4" spans="1:30">
      <c r="A4" s="19"/>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row>
    <row r="5" spans="1:30" ht="19.5">
      <c r="A5" s="617" t="s">
        <v>0</v>
      </c>
      <c r="B5" s="618" t="s">
        <v>595</v>
      </c>
      <c r="C5" s="618"/>
      <c r="D5" s="618" t="s">
        <v>4</v>
      </c>
      <c r="E5" s="624" t="s">
        <v>623</v>
      </c>
      <c r="F5" s="624"/>
      <c r="G5" s="624"/>
      <c r="H5" s="624"/>
      <c r="I5" s="624"/>
      <c r="J5" s="624"/>
      <c r="K5" s="624"/>
      <c r="L5" s="624"/>
      <c r="M5" s="624"/>
      <c r="N5" s="624"/>
      <c r="O5" s="624"/>
      <c r="P5" s="624"/>
      <c r="Q5" s="624"/>
      <c r="R5" s="624"/>
      <c r="S5" s="624"/>
      <c r="T5" s="624"/>
      <c r="U5" s="624"/>
      <c r="V5" s="624"/>
      <c r="W5" s="624"/>
      <c r="X5" s="624"/>
      <c r="Y5" s="624"/>
      <c r="Z5" s="624"/>
      <c r="AA5" s="624"/>
      <c r="AB5" s="624"/>
      <c r="AC5" s="615" t="s">
        <v>622</v>
      </c>
    </row>
    <row r="6" spans="1:30" ht="21" customHeight="1">
      <c r="A6" s="617"/>
      <c r="B6" s="618"/>
      <c r="C6" s="618"/>
      <c r="D6" s="618"/>
      <c r="E6" s="294" t="s">
        <v>596</v>
      </c>
      <c r="F6" s="294" t="s">
        <v>597</v>
      </c>
      <c r="G6" s="294" t="s">
        <v>598</v>
      </c>
      <c r="H6" s="294" t="s">
        <v>599</v>
      </c>
      <c r="I6" s="294" t="s">
        <v>600</v>
      </c>
      <c r="J6" s="294" t="s">
        <v>601</v>
      </c>
      <c r="K6" s="294" t="s">
        <v>602</v>
      </c>
      <c r="L6" s="294" t="s">
        <v>603</v>
      </c>
      <c r="M6" s="294" t="s">
        <v>604</v>
      </c>
      <c r="N6" s="294" t="s">
        <v>605</v>
      </c>
      <c r="O6" s="294" t="s">
        <v>606</v>
      </c>
      <c r="P6" s="294" t="s">
        <v>607</v>
      </c>
      <c r="Q6" s="294" t="s">
        <v>608</v>
      </c>
      <c r="R6" s="294" t="s">
        <v>609</v>
      </c>
      <c r="S6" s="294" t="s">
        <v>610</v>
      </c>
      <c r="T6" s="294" t="s">
        <v>611</v>
      </c>
      <c r="U6" s="294" t="s">
        <v>612</v>
      </c>
      <c r="V6" s="294" t="s">
        <v>613</v>
      </c>
      <c r="W6" s="294" t="s">
        <v>614</v>
      </c>
      <c r="X6" s="294" t="s">
        <v>615</v>
      </c>
      <c r="Y6" s="294" t="s">
        <v>616</v>
      </c>
      <c r="Z6" s="294" t="s">
        <v>617</v>
      </c>
      <c r="AA6" s="294" t="s">
        <v>618</v>
      </c>
      <c r="AB6" s="294" t="s">
        <v>619</v>
      </c>
      <c r="AC6" s="615"/>
    </row>
    <row r="7" spans="1:30" ht="33.75" customHeight="1">
      <c r="A7" s="615">
        <v>1</v>
      </c>
      <c r="B7" s="616" t="s">
        <v>8</v>
      </c>
      <c r="C7" s="616"/>
      <c r="D7" s="296">
        <f>SUM(E7:T7)</f>
        <v>1</v>
      </c>
      <c r="E7" s="158">
        <v>0.38</v>
      </c>
      <c r="F7" s="295">
        <v>2.5000000000000001E-2</v>
      </c>
      <c r="G7" s="295">
        <v>2.5000000000000001E-2</v>
      </c>
      <c r="H7" s="295">
        <v>2.5000000000000001E-2</v>
      </c>
      <c r="I7" s="295">
        <v>2.5000000000000001E-2</v>
      </c>
      <c r="J7" s="295">
        <v>2.5000000000000001E-2</v>
      </c>
      <c r="K7" s="295">
        <v>4.4999999999999998E-2</v>
      </c>
      <c r="L7" s="295">
        <v>0.05</v>
      </c>
      <c r="M7" s="295">
        <v>0.05</v>
      </c>
      <c r="N7" s="295">
        <v>0.05</v>
      </c>
      <c r="O7" s="295">
        <v>0.05</v>
      </c>
      <c r="P7" s="158">
        <v>0.05</v>
      </c>
      <c r="Q7" s="158">
        <v>0.05</v>
      </c>
      <c r="R7" s="158">
        <v>0.05</v>
      </c>
      <c r="S7" s="158">
        <v>0.05</v>
      </c>
      <c r="T7" s="158">
        <v>0.05</v>
      </c>
      <c r="U7" s="159"/>
      <c r="V7" s="159"/>
      <c r="W7" s="159"/>
      <c r="X7" s="159"/>
      <c r="Y7" s="159"/>
      <c r="Z7" s="159"/>
      <c r="AA7" s="159"/>
      <c r="AB7" s="159"/>
      <c r="AC7" s="160">
        <f t="shared" ref="AC7:AC12" si="0">SUM(E7:AB7)</f>
        <v>1</v>
      </c>
    </row>
    <row r="8" spans="1:30" ht="32.25" customHeight="1">
      <c r="A8" s="615"/>
      <c r="B8" s="616"/>
      <c r="C8" s="616"/>
      <c r="D8" s="161">
        <f>PLANILHA!I29</f>
        <v>595727.04</v>
      </c>
      <c r="E8" s="162">
        <f>D8*0.38</f>
        <v>226376.28</v>
      </c>
      <c r="F8" s="162">
        <f>D8*0.025</f>
        <v>14893.18</v>
      </c>
      <c r="G8" s="162">
        <f>D8*0.025</f>
        <v>14893.18</v>
      </c>
      <c r="H8" s="162">
        <f>D8*0.025</f>
        <v>14893.18</v>
      </c>
      <c r="I8" s="162">
        <f>D8*0.025</f>
        <v>14893.18</v>
      </c>
      <c r="J8" s="162">
        <f>D8*0.025</f>
        <v>14893.18</v>
      </c>
      <c r="K8" s="162">
        <f>D8*0.045</f>
        <v>26807.72</v>
      </c>
      <c r="L8" s="162">
        <f>D8*0.05</f>
        <v>29786.35</v>
      </c>
      <c r="M8" s="162">
        <f>D8*0.05</f>
        <v>29786.35</v>
      </c>
      <c r="N8" s="162">
        <f>D8*0.05</f>
        <v>29786.35</v>
      </c>
      <c r="O8" s="162">
        <f>D8*0.05</f>
        <v>29786.35</v>
      </c>
      <c r="P8" s="162">
        <f>D8*0.05</f>
        <v>29786.35</v>
      </c>
      <c r="Q8" s="162">
        <f>D8*0.05</f>
        <v>29786.35</v>
      </c>
      <c r="R8" s="162">
        <f>D8*0.05</f>
        <v>29786.35</v>
      </c>
      <c r="S8" s="162">
        <f>D8*0.05</f>
        <v>29786.35</v>
      </c>
      <c r="T8" s="162">
        <f>D8*0.05</f>
        <v>29786.35</v>
      </c>
      <c r="U8" s="162"/>
      <c r="V8" s="162"/>
      <c r="W8" s="162"/>
      <c r="X8" s="162"/>
      <c r="Y8" s="162"/>
      <c r="Z8" s="162"/>
      <c r="AA8" s="162"/>
      <c r="AB8" s="162"/>
      <c r="AC8" s="162">
        <f t="shared" si="0"/>
        <v>595727.05000000005</v>
      </c>
      <c r="AD8" s="51">
        <f>D8-AC8</f>
        <v>-0.01</v>
      </c>
    </row>
    <row r="9" spans="1:30" ht="30.75" customHeight="1">
      <c r="A9" s="615">
        <v>2</v>
      </c>
      <c r="B9" s="616" t="s">
        <v>412</v>
      </c>
      <c r="C9" s="616"/>
      <c r="D9" s="40" t="s">
        <v>643</v>
      </c>
      <c r="E9" s="19"/>
      <c r="F9" s="158">
        <v>0.5</v>
      </c>
      <c r="G9" s="158">
        <v>0.5</v>
      </c>
      <c r="H9" s="159"/>
      <c r="I9" s="159"/>
      <c r="J9" s="159"/>
      <c r="K9" s="159"/>
      <c r="L9" s="159"/>
      <c r="M9" s="159"/>
      <c r="N9" s="159"/>
      <c r="O9" s="159"/>
      <c r="P9" s="159"/>
      <c r="Q9" s="159"/>
      <c r="R9" s="159"/>
      <c r="S9" s="159"/>
      <c r="T9" s="159"/>
      <c r="U9" s="159"/>
      <c r="V9" s="159"/>
      <c r="W9" s="159"/>
      <c r="X9" s="159"/>
      <c r="Y9" s="159"/>
      <c r="Z9" s="159"/>
      <c r="AA9" s="159"/>
      <c r="AB9" s="159"/>
      <c r="AC9" s="159">
        <f t="shared" si="0"/>
        <v>1</v>
      </c>
      <c r="AD9" s="51" t="e">
        <f t="shared" ref="AD9:AD40" si="1">D9-AC9</f>
        <v>#VALUE!</v>
      </c>
    </row>
    <row r="10" spans="1:30" ht="28.5" customHeight="1">
      <c r="A10" s="615"/>
      <c r="B10" s="616"/>
      <c r="C10" s="616"/>
      <c r="D10" s="161">
        <f>PLANILHA!I37</f>
        <v>229837.61</v>
      </c>
      <c r="E10" s="19"/>
      <c r="F10" s="162">
        <f>D10*0.5</f>
        <v>114918.81</v>
      </c>
      <c r="G10" s="162">
        <f>D10*0.5</f>
        <v>114918.81</v>
      </c>
      <c r="H10" s="162"/>
      <c r="I10" s="162"/>
      <c r="J10" s="162"/>
      <c r="K10" s="162"/>
      <c r="L10" s="162"/>
      <c r="M10" s="162"/>
      <c r="N10" s="162"/>
      <c r="O10" s="162"/>
      <c r="P10" s="162"/>
      <c r="Q10" s="162"/>
      <c r="R10" s="162"/>
      <c r="S10" s="162"/>
      <c r="T10" s="162"/>
      <c r="U10" s="162"/>
      <c r="V10" s="162"/>
      <c r="W10" s="162"/>
      <c r="X10" s="162"/>
      <c r="Y10" s="162"/>
      <c r="Z10" s="162"/>
      <c r="AA10" s="162"/>
      <c r="AB10" s="162"/>
      <c r="AC10" s="162">
        <f t="shared" si="0"/>
        <v>229837.62</v>
      </c>
      <c r="AD10" s="51">
        <f t="shared" si="1"/>
        <v>-0.01</v>
      </c>
    </row>
    <row r="11" spans="1:30" ht="30.75" customHeight="1">
      <c r="A11" s="615">
        <v>3</v>
      </c>
      <c r="B11" s="616" t="s">
        <v>61</v>
      </c>
      <c r="C11" s="616"/>
      <c r="D11" s="40" t="s">
        <v>643</v>
      </c>
      <c r="E11" s="19"/>
      <c r="F11" s="158">
        <v>1</v>
      </c>
      <c r="G11" s="19"/>
      <c r="H11" s="19"/>
      <c r="I11" s="19"/>
      <c r="J11" s="19"/>
      <c r="K11" s="19"/>
      <c r="L11" s="19"/>
      <c r="M11" s="19"/>
      <c r="N11" s="19"/>
      <c r="O11" s="19"/>
      <c r="P11" s="19"/>
      <c r="Q11" s="19"/>
      <c r="R11" s="19"/>
      <c r="S11" s="19"/>
      <c r="T11" s="19"/>
      <c r="U11" s="19"/>
      <c r="V11" s="19"/>
      <c r="W11" s="19"/>
      <c r="X11" s="19"/>
      <c r="Y11" s="19"/>
      <c r="Z11" s="19"/>
      <c r="AA11" s="19"/>
      <c r="AB11" s="19"/>
      <c r="AC11" s="159">
        <f t="shared" si="0"/>
        <v>1</v>
      </c>
      <c r="AD11" s="51" t="e">
        <f t="shared" si="1"/>
        <v>#VALUE!</v>
      </c>
    </row>
    <row r="12" spans="1:30" ht="31.5" customHeight="1">
      <c r="A12" s="615"/>
      <c r="B12" s="616"/>
      <c r="C12" s="616"/>
      <c r="D12" s="161">
        <f>PLANILHA!I42</f>
        <v>99574.38</v>
      </c>
      <c r="E12" s="19"/>
      <c r="F12" s="162">
        <f>D12</f>
        <v>99574.38</v>
      </c>
      <c r="G12" s="19"/>
      <c r="H12" s="19"/>
      <c r="I12" s="19"/>
      <c r="J12" s="19"/>
      <c r="K12" s="19"/>
      <c r="L12" s="19"/>
      <c r="M12" s="19"/>
      <c r="N12" s="19"/>
      <c r="O12" s="19"/>
      <c r="P12" s="19"/>
      <c r="Q12" s="19"/>
      <c r="R12" s="19"/>
      <c r="S12" s="19"/>
      <c r="T12" s="19"/>
      <c r="U12" s="19"/>
      <c r="V12" s="19"/>
      <c r="W12" s="19"/>
      <c r="X12" s="19"/>
      <c r="Y12" s="19"/>
      <c r="Z12" s="19"/>
      <c r="AA12" s="19"/>
      <c r="AB12" s="19"/>
      <c r="AC12" s="162">
        <f t="shared" si="0"/>
        <v>99574.38</v>
      </c>
      <c r="AD12" s="51">
        <f t="shared" si="1"/>
        <v>0</v>
      </c>
    </row>
    <row r="13" spans="1:30" ht="32.25" customHeight="1">
      <c r="A13" s="615">
        <v>4</v>
      </c>
      <c r="B13" s="616" t="s">
        <v>69</v>
      </c>
      <c r="C13" s="616"/>
      <c r="D13" s="40" t="s">
        <v>643</v>
      </c>
      <c r="E13" s="19"/>
      <c r="F13" s="19"/>
      <c r="G13" s="158">
        <v>0.25</v>
      </c>
      <c r="H13" s="158">
        <v>0.25</v>
      </c>
      <c r="I13" s="158">
        <v>0.5</v>
      </c>
      <c r="J13" s="19"/>
      <c r="K13" s="19"/>
      <c r="L13" s="19"/>
      <c r="M13" s="19"/>
      <c r="N13" s="19"/>
      <c r="O13" s="19"/>
      <c r="P13" s="19"/>
      <c r="Q13" s="19"/>
      <c r="R13" s="19"/>
      <c r="S13" s="19"/>
      <c r="T13" s="19"/>
      <c r="U13" s="19"/>
      <c r="V13" s="19"/>
      <c r="W13" s="19"/>
      <c r="X13" s="19"/>
      <c r="Y13" s="19"/>
      <c r="Z13" s="19"/>
      <c r="AA13" s="19"/>
      <c r="AB13" s="19"/>
      <c r="AC13" s="160">
        <f>SUM(G13:AB13)</f>
        <v>1</v>
      </c>
      <c r="AD13" s="51" t="e">
        <f t="shared" si="1"/>
        <v>#VALUE!</v>
      </c>
    </row>
    <row r="14" spans="1:30" ht="30.75" customHeight="1">
      <c r="A14" s="615"/>
      <c r="B14" s="616"/>
      <c r="C14" s="616"/>
      <c r="D14" s="161">
        <f>PLANILHA!I50</f>
        <v>107175.35</v>
      </c>
      <c r="E14" s="19"/>
      <c r="F14" s="19"/>
      <c r="G14" s="162">
        <f>D14*0.25</f>
        <v>26793.84</v>
      </c>
      <c r="H14" s="162">
        <f>D14*0.25</f>
        <v>26793.84</v>
      </c>
      <c r="I14" s="162">
        <f>D14-G14-H14</f>
        <v>53587.67</v>
      </c>
      <c r="J14" s="19"/>
      <c r="K14" s="19"/>
      <c r="L14" s="19"/>
      <c r="M14" s="19"/>
      <c r="N14" s="19"/>
      <c r="O14" s="19"/>
      <c r="P14" s="19"/>
      <c r="Q14" s="19"/>
      <c r="R14" s="19"/>
      <c r="S14" s="19"/>
      <c r="T14" s="19"/>
      <c r="U14" s="19"/>
      <c r="V14" s="19"/>
      <c r="W14" s="19"/>
      <c r="X14" s="19"/>
      <c r="Y14" s="19"/>
      <c r="Z14" s="19"/>
      <c r="AA14" s="19"/>
      <c r="AB14" s="19"/>
      <c r="AC14" s="163">
        <f>SUM(G14:AB14)</f>
        <v>107175.35</v>
      </c>
      <c r="AD14" s="51">
        <f t="shared" si="1"/>
        <v>0</v>
      </c>
    </row>
    <row r="15" spans="1:30" ht="30" customHeight="1">
      <c r="A15" s="615">
        <v>5</v>
      </c>
      <c r="B15" s="616" t="s">
        <v>78</v>
      </c>
      <c r="C15" s="616"/>
      <c r="D15" s="40" t="s">
        <v>643</v>
      </c>
      <c r="E15" s="19"/>
      <c r="F15" s="19"/>
      <c r="G15" s="19"/>
      <c r="H15" s="158">
        <v>0.25</v>
      </c>
      <c r="I15" s="158">
        <v>0.25</v>
      </c>
      <c r="J15" s="158">
        <v>0.25</v>
      </c>
      <c r="K15" s="158">
        <v>0.25</v>
      </c>
      <c r="L15" s="19"/>
      <c r="M15" s="19"/>
      <c r="N15" s="19"/>
      <c r="O15" s="19"/>
      <c r="P15" s="19"/>
      <c r="Q15" s="19"/>
      <c r="R15" s="19"/>
      <c r="S15" s="19"/>
      <c r="T15" s="19"/>
      <c r="U15" s="19"/>
      <c r="V15" s="19"/>
      <c r="W15" s="19"/>
      <c r="X15" s="19"/>
      <c r="Y15" s="19"/>
      <c r="Z15" s="19"/>
      <c r="AA15" s="19"/>
      <c r="AB15" s="19"/>
      <c r="AC15" s="160">
        <f>SUM(H15:AB15)</f>
        <v>1</v>
      </c>
      <c r="AD15" s="51" t="e">
        <f t="shared" si="1"/>
        <v>#VALUE!</v>
      </c>
    </row>
    <row r="16" spans="1:30" ht="33" customHeight="1">
      <c r="A16" s="615"/>
      <c r="B16" s="616"/>
      <c r="C16" s="616"/>
      <c r="D16" s="161">
        <f>PLANILHA!I57</f>
        <v>470209.28000000003</v>
      </c>
      <c r="E16" s="19"/>
      <c r="F16" s="19"/>
      <c r="G16" s="19"/>
      <c r="H16" s="162">
        <f>D16*0.25</f>
        <v>117552.32000000001</v>
      </c>
      <c r="I16" s="162">
        <f>D16*0.25</f>
        <v>117552.32000000001</v>
      </c>
      <c r="J16" s="162">
        <f>D16*0.25</f>
        <v>117552.32000000001</v>
      </c>
      <c r="K16" s="162">
        <f>D16-H16-I16-J16</f>
        <v>117552.32000000001</v>
      </c>
      <c r="L16" s="19"/>
      <c r="M16" s="19"/>
      <c r="N16" s="19"/>
      <c r="O16" s="19"/>
      <c r="P16" s="19"/>
      <c r="Q16" s="19"/>
      <c r="R16" s="19"/>
      <c r="S16" s="19"/>
      <c r="T16" s="19"/>
      <c r="U16" s="19"/>
      <c r="V16" s="19"/>
      <c r="W16" s="19"/>
      <c r="X16" s="19"/>
      <c r="Y16" s="19"/>
      <c r="Z16" s="19"/>
      <c r="AA16" s="19"/>
      <c r="AB16" s="19"/>
      <c r="AC16" s="163">
        <f>SUM(H16:AB16)</f>
        <v>470209.28000000003</v>
      </c>
      <c r="AD16" s="51">
        <f t="shared" si="1"/>
        <v>0</v>
      </c>
    </row>
    <row r="17" spans="1:30" ht="30" customHeight="1">
      <c r="A17" s="615">
        <v>6</v>
      </c>
      <c r="B17" s="616" t="s">
        <v>129</v>
      </c>
      <c r="C17" s="616"/>
      <c r="D17" s="40" t="s">
        <v>643</v>
      </c>
      <c r="E17" s="19"/>
      <c r="F17" s="19"/>
      <c r="G17" s="19"/>
      <c r="H17" s="158">
        <v>0.25</v>
      </c>
      <c r="I17" s="158">
        <v>0.25</v>
      </c>
      <c r="J17" s="158">
        <v>0.25</v>
      </c>
      <c r="K17" s="158">
        <v>0.25</v>
      </c>
      <c r="L17" s="19"/>
      <c r="M17" s="19"/>
      <c r="N17" s="19"/>
      <c r="O17" s="19"/>
      <c r="P17" s="19"/>
      <c r="Q17" s="19"/>
      <c r="R17" s="19"/>
      <c r="S17" s="19"/>
      <c r="T17" s="19"/>
      <c r="U17" s="19"/>
      <c r="V17" s="19"/>
      <c r="W17" s="19"/>
      <c r="X17" s="19"/>
      <c r="Y17" s="19"/>
      <c r="Z17" s="19"/>
      <c r="AA17" s="19"/>
      <c r="AB17" s="19"/>
      <c r="AC17" s="160">
        <f>SUM(H17:AB17)</f>
        <v>1</v>
      </c>
      <c r="AD17" s="51" t="e">
        <f t="shared" si="1"/>
        <v>#VALUE!</v>
      </c>
    </row>
    <row r="18" spans="1:30" ht="27" customHeight="1">
      <c r="A18" s="615"/>
      <c r="B18" s="616"/>
      <c r="C18" s="616"/>
      <c r="D18" s="161">
        <f>PLANILHA!I60</f>
        <v>284156.25</v>
      </c>
      <c r="E18" s="19"/>
      <c r="F18" s="19"/>
      <c r="G18" s="19"/>
      <c r="H18" s="162">
        <f>D18*0.25</f>
        <v>71039.06</v>
      </c>
      <c r="I18" s="162">
        <f>D18*0.25</f>
        <v>71039.06</v>
      </c>
      <c r="J18" s="162">
        <f>D18*0.25</f>
        <v>71039.06</v>
      </c>
      <c r="K18" s="162">
        <f>D18-H18-I18-J18</f>
        <v>71039.070000000007</v>
      </c>
      <c r="L18" s="19"/>
      <c r="M18" s="19"/>
      <c r="N18" s="19"/>
      <c r="O18" s="19"/>
      <c r="P18" s="19"/>
      <c r="Q18" s="19"/>
      <c r="R18" s="19"/>
      <c r="S18" s="19"/>
      <c r="T18" s="19"/>
      <c r="U18" s="19"/>
      <c r="V18" s="19"/>
      <c r="W18" s="19"/>
      <c r="X18" s="19"/>
      <c r="Y18" s="19"/>
      <c r="Z18" s="19"/>
      <c r="AA18" s="19"/>
      <c r="AB18" s="19"/>
      <c r="AC18" s="163">
        <f>SUM(H18:AB18)</f>
        <v>284156.25</v>
      </c>
      <c r="AD18" s="51">
        <f t="shared" si="1"/>
        <v>0</v>
      </c>
    </row>
    <row r="19" spans="1:30" ht="27.75" customHeight="1">
      <c r="A19" s="615">
        <v>7</v>
      </c>
      <c r="B19" s="616" t="s">
        <v>84</v>
      </c>
      <c r="C19" s="616"/>
      <c r="D19" s="40" t="s">
        <v>643</v>
      </c>
      <c r="E19" s="19"/>
      <c r="F19" s="19"/>
      <c r="G19" s="19"/>
      <c r="H19" s="19"/>
      <c r="I19" s="19"/>
      <c r="J19" s="19"/>
      <c r="K19" s="158">
        <v>0.25</v>
      </c>
      <c r="L19" s="158">
        <v>0.75</v>
      </c>
      <c r="M19" s="19"/>
      <c r="N19" s="19"/>
      <c r="O19" s="19"/>
      <c r="P19" s="19"/>
      <c r="Q19" s="19"/>
      <c r="R19" s="19"/>
      <c r="S19" s="19"/>
      <c r="T19" s="19"/>
      <c r="U19" s="19"/>
      <c r="V19" s="19"/>
      <c r="W19" s="19"/>
      <c r="X19" s="19"/>
      <c r="Y19" s="19"/>
      <c r="Z19" s="19"/>
      <c r="AA19" s="19"/>
      <c r="AB19" s="19"/>
      <c r="AC19" s="160">
        <f>SUM(K19:AB19)</f>
        <v>1</v>
      </c>
      <c r="AD19" s="51" t="e">
        <f t="shared" si="1"/>
        <v>#VALUE!</v>
      </c>
    </row>
    <row r="20" spans="1:30" ht="28.5" customHeight="1">
      <c r="A20" s="615"/>
      <c r="B20" s="616"/>
      <c r="C20" s="616"/>
      <c r="D20" s="161">
        <f>PLANILHA!I68</f>
        <v>127738.03</v>
      </c>
      <c r="E20" s="19"/>
      <c r="F20" s="19"/>
      <c r="G20" s="19"/>
      <c r="H20" s="19"/>
      <c r="I20" s="19"/>
      <c r="J20" s="19"/>
      <c r="K20" s="162">
        <f>D20*0.25</f>
        <v>31934.51</v>
      </c>
      <c r="L20" s="162">
        <f>D20*0.75</f>
        <v>95803.520000000004</v>
      </c>
      <c r="M20" s="19"/>
      <c r="N20" s="19"/>
      <c r="O20" s="19"/>
      <c r="P20" s="19"/>
      <c r="Q20" s="19"/>
      <c r="R20" s="19"/>
      <c r="S20" s="19"/>
      <c r="T20" s="19"/>
      <c r="U20" s="19"/>
      <c r="V20" s="19"/>
      <c r="W20" s="19"/>
      <c r="X20" s="19"/>
      <c r="Y20" s="19"/>
      <c r="Z20" s="19"/>
      <c r="AA20" s="19"/>
      <c r="AB20" s="19"/>
      <c r="AC20" s="163">
        <f>SUM(K20:AB20)</f>
        <v>127738.03</v>
      </c>
      <c r="AD20" s="51">
        <f t="shared" si="1"/>
        <v>0</v>
      </c>
    </row>
    <row r="21" spans="1:30" ht="30" customHeight="1">
      <c r="A21" s="615">
        <v>8</v>
      </c>
      <c r="B21" s="616" t="s">
        <v>93</v>
      </c>
      <c r="C21" s="616"/>
      <c r="D21" s="40" t="s">
        <v>643</v>
      </c>
      <c r="E21" s="19"/>
      <c r="F21" s="19"/>
      <c r="G21" s="19"/>
      <c r="H21" s="158"/>
      <c r="I21" s="158">
        <v>0.25</v>
      </c>
      <c r="J21" s="158">
        <v>0.25</v>
      </c>
      <c r="K21" s="158">
        <v>0.2</v>
      </c>
      <c r="L21" s="158">
        <v>0.2</v>
      </c>
      <c r="M21" s="158">
        <v>0.1</v>
      </c>
      <c r="N21" s="19"/>
      <c r="O21" s="19"/>
      <c r="P21" s="19"/>
      <c r="Q21" s="19"/>
      <c r="R21" s="19"/>
      <c r="S21" s="19"/>
      <c r="T21" s="19"/>
      <c r="U21" s="19"/>
      <c r="V21" s="19"/>
      <c r="W21" s="19"/>
      <c r="X21" s="19"/>
      <c r="Y21" s="19"/>
      <c r="Z21" s="19"/>
      <c r="AA21" s="19"/>
      <c r="AB21" s="19"/>
      <c r="AC21" s="160">
        <f>SUM(I21:AB21)</f>
        <v>1</v>
      </c>
      <c r="AD21" s="51" t="e">
        <f t="shared" si="1"/>
        <v>#VALUE!</v>
      </c>
    </row>
    <row r="22" spans="1:30" ht="33" customHeight="1">
      <c r="A22" s="615"/>
      <c r="B22" s="616"/>
      <c r="C22" s="616"/>
      <c r="D22" s="161">
        <f>PLANILHA!I77</f>
        <v>120342.28</v>
      </c>
      <c r="E22" s="19"/>
      <c r="F22" s="19"/>
      <c r="G22" s="19"/>
      <c r="H22" s="19"/>
      <c r="I22" s="162">
        <f>D22*0.25</f>
        <v>30085.57</v>
      </c>
      <c r="J22" s="162">
        <f>D22*0.25</f>
        <v>30085.57</v>
      </c>
      <c r="K22" s="162">
        <f>D22*0.2</f>
        <v>24068.46</v>
      </c>
      <c r="L22" s="162">
        <f>D22*0.2</f>
        <v>24068.46</v>
      </c>
      <c r="M22" s="163">
        <f>D22-I22-J22-K22-L22</f>
        <v>12034.22</v>
      </c>
      <c r="N22" s="19"/>
      <c r="O22" s="19"/>
      <c r="P22" s="19"/>
      <c r="Q22" s="19"/>
      <c r="R22" s="19"/>
      <c r="S22" s="19"/>
      <c r="T22" s="19"/>
      <c r="U22" s="19"/>
      <c r="V22" s="19"/>
      <c r="W22" s="19"/>
      <c r="X22" s="19"/>
      <c r="Y22" s="19"/>
      <c r="Z22" s="19"/>
      <c r="AA22" s="19"/>
      <c r="AB22" s="19"/>
      <c r="AC22" s="163">
        <f>SUM(I22:AB22)</f>
        <v>120342.28</v>
      </c>
      <c r="AD22" s="51">
        <f t="shared" si="1"/>
        <v>0</v>
      </c>
    </row>
    <row r="23" spans="1:30" ht="27.75" customHeight="1">
      <c r="A23" s="615">
        <v>9</v>
      </c>
      <c r="B23" s="616" t="s">
        <v>135</v>
      </c>
      <c r="C23" s="616"/>
      <c r="D23" s="40" t="s">
        <v>643</v>
      </c>
      <c r="E23" s="19"/>
      <c r="F23" s="19"/>
      <c r="G23" s="19"/>
      <c r="H23" s="19"/>
      <c r="I23" s="19"/>
      <c r="J23" s="19"/>
      <c r="K23" s="19"/>
      <c r="L23" s="19"/>
      <c r="M23" s="19"/>
      <c r="N23" s="158">
        <v>0.2</v>
      </c>
      <c r="O23" s="158">
        <v>0.2</v>
      </c>
      <c r="P23" s="158">
        <v>0.2</v>
      </c>
      <c r="Q23" s="158">
        <v>0.2</v>
      </c>
      <c r="R23" s="158">
        <v>0.2</v>
      </c>
      <c r="S23" s="19"/>
      <c r="T23" s="19"/>
      <c r="U23" s="19"/>
      <c r="V23" s="19"/>
      <c r="W23" s="19"/>
      <c r="X23" s="19"/>
      <c r="Y23" s="19"/>
      <c r="Z23" s="19"/>
      <c r="AA23" s="19"/>
      <c r="AB23" s="19"/>
      <c r="AC23" s="160">
        <f>SUM(N23:AB23)</f>
        <v>1</v>
      </c>
      <c r="AD23" s="51" t="e">
        <f t="shared" si="1"/>
        <v>#VALUE!</v>
      </c>
    </row>
    <row r="24" spans="1:30" ht="25.5" customHeight="1">
      <c r="A24" s="615"/>
      <c r="B24" s="616"/>
      <c r="C24" s="616"/>
      <c r="D24" s="161">
        <f>PLANILHA!I92</f>
        <v>702768.53</v>
      </c>
      <c r="E24" s="19"/>
      <c r="F24" s="19"/>
      <c r="G24" s="19"/>
      <c r="H24" s="19"/>
      <c r="I24" s="19"/>
      <c r="J24" s="19"/>
      <c r="K24" s="19"/>
      <c r="L24" s="19"/>
      <c r="M24" s="19"/>
      <c r="N24" s="162">
        <f>D24*0.2</f>
        <v>140553.71</v>
      </c>
      <c r="O24" s="162">
        <f>D24*0.2</f>
        <v>140553.71</v>
      </c>
      <c r="P24" s="162">
        <f>D24*0.2</f>
        <v>140553.71</v>
      </c>
      <c r="Q24" s="162">
        <f>D24*0.2</f>
        <v>140553.71</v>
      </c>
      <c r="R24" s="162">
        <f>D24-N24-O24-P24-Q24</f>
        <v>140553.69</v>
      </c>
      <c r="S24" s="19"/>
      <c r="T24" s="19"/>
      <c r="U24" s="19"/>
      <c r="V24" s="19"/>
      <c r="W24" s="19"/>
      <c r="X24" s="19"/>
      <c r="Y24" s="19"/>
      <c r="Z24" s="19"/>
      <c r="AA24" s="19"/>
      <c r="AB24" s="19"/>
      <c r="AC24" s="163">
        <f>SUM(N24:AB24)</f>
        <v>702768.53</v>
      </c>
      <c r="AD24" s="51">
        <f t="shared" si="1"/>
        <v>0</v>
      </c>
    </row>
    <row r="25" spans="1:30" ht="25.5" customHeight="1">
      <c r="A25" s="615">
        <v>10</v>
      </c>
      <c r="B25" s="616" t="s">
        <v>169</v>
      </c>
      <c r="C25" s="616"/>
      <c r="D25" s="40" t="s">
        <v>643</v>
      </c>
      <c r="E25" s="19"/>
      <c r="F25" s="19"/>
      <c r="G25" s="19"/>
      <c r="H25" s="19"/>
      <c r="I25" s="19"/>
      <c r="J25" s="19"/>
      <c r="K25" s="19"/>
      <c r="L25" s="19"/>
      <c r="M25" s="19"/>
      <c r="N25" s="159"/>
      <c r="O25" s="159"/>
      <c r="P25" s="158">
        <v>0.25</v>
      </c>
      <c r="Q25" s="158">
        <v>0.25</v>
      </c>
      <c r="R25" s="158">
        <v>0.5</v>
      </c>
      <c r="S25" s="159"/>
      <c r="T25" s="159"/>
      <c r="U25" s="19"/>
      <c r="V25" s="19"/>
      <c r="W25" s="19"/>
      <c r="X25" s="19"/>
      <c r="Y25" s="19"/>
      <c r="Z25" s="19"/>
      <c r="AA25" s="19"/>
      <c r="AB25" s="19"/>
      <c r="AC25" s="160">
        <f>SUM(P25:AB25)</f>
        <v>1</v>
      </c>
      <c r="AD25" s="51" t="e">
        <f t="shared" si="1"/>
        <v>#VALUE!</v>
      </c>
    </row>
    <row r="26" spans="1:30" ht="28.5" customHeight="1">
      <c r="A26" s="615"/>
      <c r="B26" s="616"/>
      <c r="C26" s="616"/>
      <c r="D26" s="161">
        <f>PLANILHA!I99</f>
        <v>45297.91</v>
      </c>
      <c r="E26" s="19"/>
      <c r="F26" s="19"/>
      <c r="G26" s="19"/>
      <c r="H26" s="19"/>
      <c r="I26" s="19"/>
      <c r="J26" s="19"/>
      <c r="K26" s="19"/>
      <c r="L26" s="19"/>
      <c r="M26" s="19"/>
      <c r="N26" s="19"/>
      <c r="O26" s="19"/>
      <c r="P26" s="162">
        <f>D26*0.25</f>
        <v>11324.48</v>
      </c>
      <c r="Q26" s="162">
        <f>D26*0.25</f>
        <v>11324.48</v>
      </c>
      <c r="R26" s="162">
        <f>D26*0.5</f>
        <v>22648.959999999999</v>
      </c>
      <c r="S26" s="19"/>
      <c r="T26" s="19"/>
      <c r="U26" s="19"/>
      <c r="V26" s="19"/>
      <c r="W26" s="19"/>
      <c r="X26" s="19"/>
      <c r="Y26" s="19"/>
      <c r="Z26" s="19"/>
      <c r="AA26" s="19"/>
      <c r="AB26" s="19"/>
      <c r="AC26" s="163">
        <f>SUM(P26:AB26)</f>
        <v>45297.919999999998</v>
      </c>
      <c r="AD26" s="51">
        <f t="shared" si="1"/>
        <v>-0.01</v>
      </c>
    </row>
    <row r="27" spans="1:30" ht="30" customHeight="1">
      <c r="A27" s="615">
        <v>11</v>
      </c>
      <c r="B27" s="616" t="s">
        <v>620</v>
      </c>
      <c r="C27" s="616"/>
      <c r="D27" s="40" t="s">
        <v>643</v>
      </c>
      <c r="E27" s="19"/>
      <c r="F27" s="19"/>
      <c r="G27" s="19"/>
      <c r="H27" s="19"/>
      <c r="I27" s="19"/>
      <c r="J27" s="19"/>
      <c r="K27" s="19"/>
      <c r="L27" s="159">
        <v>0.2</v>
      </c>
      <c r="M27" s="159">
        <v>0.3</v>
      </c>
      <c r="N27" s="159">
        <v>0.25</v>
      </c>
      <c r="O27" s="159">
        <v>0.25</v>
      </c>
      <c r="P27" s="19"/>
      <c r="Q27" s="19"/>
      <c r="R27" s="19"/>
      <c r="S27" s="19"/>
      <c r="T27" s="19"/>
      <c r="U27" s="19"/>
      <c r="V27" s="19"/>
      <c r="W27" s="19"/>
      <c r="X27" s="19"/>
      <c r="Y27" s="19"/>
      <c r="Z27" s="19"/>
      <c r="AA27" s="19"/>
      <c r="AB27" s="19"/>
      <c r="AC27" s="160">
        <f>SUM(L27:AB27)</f>
        <v>1</v>
      </c>
      <c r="AD27" s="51" t="e">
        <f t="shared" si="1"/>
        <v>#VALUE!</v>
      </c>
    </row>
    <row r="28" spans="1:30" ht="27.75" customHeight="1">
      <c r="A28" s="615"/>
      <c r="B28" s="616"/>
      <c r="C28" s="616"/>
      <c r="D28" s="161">
        <f>PLANILHA!I108</f>
        <v>268018.43</v>
      </c>
      <c r="E28" s="19"/>
      <c r="F28" s="19"/>
      <c r="G28" s="19"/>
      <c r="H28" s="19"/>
      <c r="I28" s="19"/>
      <c r="J28" s="19"/>
      <c r="K28" s="19"/>
      <c r="L28" s="162">
        <f>D28*0.2</f>
        <v>53603.69</v>
      </c>
      <c r="M28" s="162">
        <f>D28*0.3</f>
        <v>80405.53</v>
      </c>
      <c r="N28" s="162">
        <f>D28*0.25</f>
        <v>67004.61</v>
      </c>
      <c r="O28" s="162">
        <f>D28-L28-M28-N28</f>
        <v>67004.600000000006</v>
      </c>
      <c r="P28" s="19"/>
      <c r="Q28" s="19"/>
      <c r="R28" s="19"/>
      <c r="S28" s="19"/>
      <c r="T28" s="19"/>
      <c r="U28" s="19"/>
      <c r="V28" s="19"/>
      <c r="W28" s="19"/>
      <c r="X28" s="19"/>
      <c r="Y28" s="19"/>
      <c r="Z28" s="19"/>
      <c r="AA28" s="19"/>
      <c r="AB28" s="19"/>
      <c r="AC28" s="163">
        <f>SUM(L28:AB28)</f>
        <v>268018.43</v>
      </c>
      <c r="AD28" s="51">
        <f t="shared" si="1"/>
        <v>0</v>
      </c>
    </row>
    <row r="29" spans="1:30" ht="25.5" customHeight="1">
      <c r="A29" s="615">
        <v>12</v>
      </c>
      <c r="B29" s="616" t="s">
        <v>178</v>
      </c>
      <c r="C29" s="616"/>
      <c r="D29" s="40" t="s">
        <v>643</v>
      </c>
      <c r="E29" s="19"/>
      <c r="F29" s="19"/>
      <c r="G29" s="19"/>
      <c r="H29" s="19"/>
      <c r="I29" s="19"/>
      <c r="J29" s="19"/>
      <c r="K29" s="19"/>
      <c r="L29" s="19"/>
      <c r="M29" s="19"/>
      <c r="N29" s="19"/>
      <c r="O29" s="19"/>
      <c r="P29" s="19"/>
      <c r="Q29" s="19"/>
      <c r="R29" s="158">
        <v>0.2</v>
      </c>
      <c r="S29" s="158">
        <v>0.2</v>
      </c>
      <c r="T29" s="158">
        <v>0.2</v>
      </c>
      <c r="U29" s="158">
        <v>0.2</v>
      </c>
      <c r="V29" s="158">
        <v>0.2</v>
      </c>
      <c r="W29" s="19"/>
      <c r="X29" s="19"/>
      <c r="Y29" s="19"/>
      <c r="Z29" s="19"/>
      <c r="AA29" s="19"/>
      <c r="AB29" s="19"/>
      <c r="AC29" s="160">
        <f>SUM(R29:AB29)</f>
        <v>1</v>
      </c>
      <c r="AD29" s="51" t="e">
        <f t="shared" si="1"/>
        <v>#VALUE!</v>
      </c>
    </row>
    <row r="30" spans="1:30" ht="28.5" customHeight="1">
      <c r="A30" s="615"/>
      <c r="B30" s="616"/>
      <c r="C30" s="616"/>
      <c r="D30" s="161">
        <f>PLANILHA!I117</f>
        <v>199776.89</v>
      </c>
      <c r="E30" s="19"/>
      <c r="F30" s="19"/>
      <c r="G30" s="19"/>
      <c r="H30" s="19"/>
      <c r="I30" s="19"/>
      <c r="J30" s="19"/>
      <c r="K30" s="19"/>
      <c r="L30" s="19"/>
      <c r="M30" s="19"/>
      <c r="N30" s="19"/>
      <c r="O30" s="19"/>
      <c r="P30" s="19"/>
      <c r="Q30" s="19"/>
      <c r="R30" s="162">
        <f>D30*0.2</f>
        <v>39955.379999999997</v>
      </c>
      <c r="S30" s="162">
        <f>D30*0.2</f>
        <v>39955.379999999997</v>
      </c>
      <c r="T30" s="162">
        <f>D30*0.2</f>
        <v>39955.379999999997</v>
      </c>
      <c r="U30" s="162">
        <f>D30*0.2</f>
        <v>39955.379999999997</v>
      </c>
      <c r="V30" s="162">
        <f>D30*0.2</f>
        <v>39955.379999999997</v>
      </c>
      <c r="W30" s="19"/>
      <c r="X30" s="19"/>
      <c r="Y30" s="19"/>
      <c r="Z30" s="19"/>
      <c r="AA30" s="19"/>
      <c r="AB30" s="19"/>
      <c r="AC30" s="163">
        <f>SUM(R30:AB30)</f>
        <v>199776.9</v>
      </c>
      <c r="AD30" s="51">
        <f t="shared" si="1"/>
        <v>-0.01</v>
      </c>
    </row>
    <row r="31" spans="1:30" ht="25.5" customHeight="1">
      <c r="A31" s="615">
        <v>13</v>
      </c>
      <c r="B31" s="616" t="s">
        <v>621</v>
      </c>
      <c r="C31" s="616"/>
      <c r="D31" s="40" t="s">
        <v>643</v>
      </c>
      <c r="E31" s="19"/>
      <c r="F31" s="19"/>
      <c r="G31" s="19"/>
      <c r="H31" s="19"/>
      <c r="I31" s="19"/>
      <c r="J31" s="19"/>
      <c r="K31" s="19"/>
      <c r="L31" s="19"/>
      <c r="M31" s="158">
        <v>0.2</v>
      </c>
      <c r="N31" s="158">
        <v>0.05</v>
      </c>
      <c r="O31" s="158">
        <v>0.05</v>
      </c>
      <c r="P31" s="158">
        <v>0.1</v>
      </c>
      <c r="Q31" s="158">
        <v>0.1</v>
      </c>
      <c r="R31" s="158">
        <v>0.1</v>
      </c>
      <c r="S31" s="158">
        <v>0.1</v>
      </c>
      <c r="T31" s="158">
        <v>0.1</v>
      </c>
      <c r="U31" s="158">
        <v>0.1</v>
      </c>
      <c r="V31" s="158">
        <v>0.1</v>
      </c>
      <c r="W31" s="19"/>
      <c r="X31" s="19"/>
      <c r="Y31" s="19"/>
      <c r="Z31" s="19"/>
      <c r="AA31" s="19"/>
      <c r="AB31" s="19"/>
      <c r="AC31" s="160">
        <f>SUM(M31:AB31)</f>
        <v>1</v>
      </c>
      <c r="AD31" s="51" t="e">
        <f t="shared" si="1"/>
        <v>#VALUE!</v>
      </c>
    </row>
    <row r="32" spans="1:30" ht="26.25" customHeight="1">
      <c r="A32" s="615"/>
      <c r="B32" s="616"/>
      <c r="C32" s="616"/>
      <c r="D32" s="161">
        <f>PLANILHA!I160</f>
        <v>171720.5</v>
      </c>
      <c r="E32" s="19"/>
      <c r="F32" s="19"/>
      <c r="G32" s="19"/>
      <c r="H32" s="19"/>
      <c r="I32" s="19"/>
      <c r="J32" s="19"/>
      <c r="K32" s="19"/>
      <c r="L32" s="19"/>
      <c r="M32" s="162">
        <f>D32*0.2</f>
        <v>34344.1</v>
      </c>
      <c r="N32" s="162">
        <f>D32*0.05</f>
        <v>8586.0300000000007</v>
      </c>
      <c r="O32" s="162">
        <f>D32*0.05</f>
        <v>8586.0300000000007</v>
      </c>
      <c r="P32" s="162">
        <f>D32*0.1</f>
        <v>17172.05</v>
      </c>
      <c r="Q32" s="162">
        <f>D32*0.1</f>
        <v>17172.05</v>
      </c>
      <c r="R32" s="162">
        <f>D32*0.1</f>
        <v>17172.05</v>
      </c>
      <c r="S32" s="162">
        <f>D32*0.1</f>
        <v>17172.05</v>
      </c>
      <c r="T32" s="162">
        <f>D32*0.1</f>
        <v>17172.05</v>
      </c>
      <c r="U32" s="162">
        <f>D32*0.1</f>
        <v>17172.05</v>
      </c>
      <c r="V32" s="162">
        <f>D32*0.1</f>
        <v>17172.05</v>
      </c>
      <c r="W32" s="19"/>
      <c r="X32" s="19"/>
      <c r="Y32" s="19"/>
      <c r="Z32" s="19"/>
      <c r="AA32" s="19"/>
      <c r="AB32" s="19"/>
      <c r="AC32" s="163">
        <f>SUM(M32:AB32)</f>
        <v>171720.51</v>
      </c>
      <c r="AD32" s="51">
        <f t="shared" si="1"/>
        <v>-0.01</v>
      </c>
    </row>
    <row r="33" spans="1:30" ht="30" customHeight="1">
      <c r="A33" s="615">
        <v>14</v>
      </c>
      <c r="B33" s="616" t="s">
        <v>234</v>
      </c>
      <c r="C33" s="616"/>
      <c r="D33" s="40" t="s">
        <v>643</v>
      </c>
      <c r="E33" s="19"/>
      <c r="F33" s="19"/>
      <c r="G33" s="19"/>
      <c r="H33" s="19"/>
      <c r="I33" s="19"/>
      <c r="J33" s="19"/>
      <c r="K33" s="19"/>
      <c r="L33" s="19"/>
      <c r="M33" s="158"/>
      <c r="N33" s="158">
        <v>0.1</v>
      </c>
      <c r="O33" s="158">
        <v>0.1</v>
      </c>
      <c r="P33" s="158">
        <v>0.1</v>
      </c>
      <c r="Q33" s="158">
        <v>0.1</v>
      </c>
      <c r="R33" s="158">
        <v>0.1</v>
      </c>
      <c r="S33" s="158">
        <v>0.1</v>
      </c>
      <c r="T33" s="158">
        <v>0.1</v>
      </c>
      <c r="U33" s="158">
        <v>0.1</v>
      </c>
      <c r="V33" s="158">
        <v>0.1</v>
      </c>
      <c r="W33" s="158">
        <v>0.1</v>
      </c>
      <c r="X33" s="158"/>
      <c r="Y33" s="158"/>
      <c r="Z33" s="19"/>
      <c r="AA33" s="19"/>
      <c r="AB33" s="19"/>
      <c r="AC33" s="160">
        <f>SUM(N33:AB33)</f>
        <v>1</v>
      </c>
      <c r="AD33" s="51" t="e">
        <f t="shared" si="1"/>
        <v>#VALUE!</v>
      </c>
    </row>
    <row r="34" spans="1:30" ht="26.25" customHeight="1">
      <c r="A34" s="615"/>
      <c r="B34" s="616"/>
      <c r="C34" s="616"/>
      <c r="D34" s="161">
        <f>PLANILHA!I201</f>
        <v>235352.13</v>
      </c>
      <c r="E34" s="19"/>
      <c r="F34" s="19"/>
      <c r="G34" s="19"/>
      <c r="H34" s="19"/>
      <c r="I34" s="19"/>
      <c r="J34" s="19"/>
      <c r="K34" s="19"/>
      <c r="L34" s="19"/>
      <c r="M34" s="19"/>
      <c r="N34" s="162">
        <f>D34*0.1</f>
        <v>23535.21</v>
      </c>
      <c r="O34" s="162">
        <f>D34*0.1</f>
        <v>23535.21</v>
      </c>
      <c r="P34" s="162">
        <f>D34*0.1</f>
        <v>23535.21</v>
      </c>
      <c r="Q34" s="162">
        <f>D34*0.1</f>
        <v>23535.21</v>
      </c>
      <c r="R34" s="162">
        <f>D34*0.1</f>
        <v>23535.21</v>
      </c>
      <c r="S34" s="162">
        <f>D34*0.1</f>
        <v>23535.21</v>
      </c>
      <c r="T34" s="162">
        <f>D34*0.1</f>
        <v>23535.21</v>
      </c>
      <c r="U34" s="162">
        <f>D34*0.1</f>
        <v>23535.21</v>
      </c>
      <c r="V34" s="162">
        <f>D34*0.1</f>
        <v>23535.21</v>
      </c>
      <c r="W34" s="162">
        <f>D34*0.1</f>
        <v>23535.21</v>
      </c>
      <c r="X34" s="19"/>
      <c r="Y34" s="19"/>
      <c r="Z34" s="19"/>
      <c r="AA34" s="19"/>
      <c r="AB34" s="19"/>
      <c r="AC34" s="163">
        <f>SUM(N34:AB34)</f>
        <v>235352.1</v>
      </c>
      <c r="AD34" s="51">
        <f t="shared" si="1"/>
        <v>0.03</v>
      </c>
    </row>
    <row r="35" spans="1:30" ht="29.25" customHeight="1">
      <c r="A35" s="615">
        <v>15</v>
      </c>
      <c r="B35" s="616" t="s">
        <v>240</v>
      </c>
      <c r="C35" s="616"/>
      <c r="D35" s="40" t="s">
        <v>643</v>
      </c>
      <c r="E35" s="19"/>
      <c r="F35" s="19"/>
      <c r="G35" s="19"/>
      <c r="H35" s="19"/>
      <c r="I35" s="19"/>
      <c r="J35" s="19"/>
      <c r="K35" s="19"/>
      <c r="L35" s="19"/>
      <c r="M35" s="19"/>
      <c r="N35" s="158">
        <v>0.1</v>
      </c>
      <c r="O35" s="158">
        <v>0.1</v>
      </c>
      <c r="P35" s="158">
        <v>0.1</v>
      </c>
      <c r="Q35" s="158">
        <v>0.1</v>
      </c>
      <c r="R35" s="158">
        <v>0.1</v>
      </c>
      <c r="S35" s="158">
        <v>0.1</v>
      </c>
      <c r="T35" s="158">
        <v>0.1</v>
      </c>
      <c r="U35" s="158">
        <v>0.1</v>
      </c>
      <c r="V35" s="158">
        <v>0.1</v>
      </c>
      <c r="W35" s="158">
        <v>0.1</v>
      </c>
      <c r="X35" s="19"/>
      <c r="Y35" s="19"/>
      <c r="Z35" s="19"/>
      <c r="AA35" s="19"/>
      <c r="AB35" s="19"/>
      <c r="AC35" s="160">
        <f>SUM(N35:AB35)</f>
        <v>1</v>
      </c>
      <c r="AD35" s="51" t="e">
        <f t="shared" si="1"/>
        <v>#VALUE!</v>
      </c>
    </row>
    <row r="36" spans="1:30" ht="31.5" customHeight="1">
      <c r="A36" s="615"/>
      <c r="B36" s="616"/>
      <c r="C36" s="616"/>
      <c r="D36" s="161">
        <f>PLANILHA!I220</f>
        <v>82840.75</v>
      </c>
      <c r="E36" s="19"/>
      <c r="F36" s="19"/>
      <c r="G36" s="19"/>
      <c r="H36" s="19"/>
      <c r="I36" s="19"/>
      <c r="J36" s="19"/>
      <c r="K36" s="19"/>
      <c r="L36" s="19"/>
      <c r="M36" s="19"/>
      <c r="N36" s="162">
        <f>D36*0.1</f>
        <v>8284.08</v>
      </c>
      <c r="O36" s="162">
        <f>D36*0.1</f>
        <v>8284.08</v>
      </c>
      <c r="P36" s="162">
        <f>D36*0.1</f>
        <v>8284.08</v>
      </c>
      <c r="Q36" s="162">
        <f>D36*0.1</f>
        <v>8284.08</v>
      </c>
      <c r="R36" s="162">
        <f>D36*0.1</f>
        <v>8284.08</v>
      </c>
      <c r="S36" s="162">
        <f>D36*0.1</f>
        <v>8284.08</v>
      </c>
      <c r="T36" s="162">
        <f>D36*0.1</f>
        <v>8284.08</v>
      </c>
      <c r="U36" s="162">
        <f>D36*0.1</f>
        <v>8284.08</v>
      </c>
      <c r="V36" s="162">
        <f>D36*0.1</f>
        <v>8284.08</v>
      </c>
      <c r="W36" s="162">
        <f>D36*0.1</f>
        <v>8284.08</v>
      </c>
      <c r="X36" s="19"/>
      <c r="Y36" s="19"/>
      <c r="Z36" s="19"/>
      <c r="AA36" s="19"/>
      <c r="AB36" s="19"/>
      <c r="AC36" s="163">
        <f>SUM(N36:AB36)</f>
        <v>82840.800000000003</v>
      </c>
      <c r="AD36" s="51">
        <f t="shared" si="1"/>
        <v>-0.05</v>
      </c>
    </row>
    <row r="37" spans="1:30" ht="30.75" customHeight="1">
      <c r="A37" s="615">
        <v>16</v>
      </c>
      <c r="B37" s="616" t="s">
        <v>253</v>
      </c>
      <c r="C37" s="616"/>
      <c r="D37" s="40" t="s">
        <v>643</v>
      </c>
      <c r="E37" s="19"/>
      <c r="F37" s="19"/>
      <c r="G37" s="19"/>
      <c r="H37" s="19"/>
      <c r="I37" s="19"/>
      <c r="J37" s="19"/>
      <c r="K37" s="19"/>
      <c r="L37" s="19"/>
      <c r="M37" s="19"/>
      <c r="N37" s="19"/>
      <c r="O37" s="19"/>
      <c r="P37" s="19"/>
      <c r="Q37" s="19"/>
      <c r="R37" s="19"/>
      <c r="S37" s="19"/>
      <c r="T37" s="19"/>
      <c r="U37" s="19"/>
      <c r="V37" s="19"/>
      <c r="W37" s="19"/>
      <c r="X37" s="158">
        <v>0.5</v>
      </c>
      <c r="Y37" s="158">
        <v>0.25</v>
      </c>
      <c r="Z37" s="158">
        <v>0.25</v>
      </c>
      <c r="AA37" s="158"/>
      <c r="AB37" s="19"/>
      <c r="AC37" s="160">
        <f>SUM(X37:AB37)</f>
        <v>1</v>
      </c>
      <c r="AD37" s="51" t="e">
        <f t="shared" si="1"/>
        <v>#VALUE!</v>
      </c>
    </row>
    <row r="38" spans="1:30" ht="22.5" customHeight="1">
      <c r="A38" s="615"/>
      <c r="B38" s="616"/>
      <c r="C38" s="616"/>
      <c r="D38" s="161">
        <f>PLANILHA!I224</f>
        <v>54465.03</v>
      </c>
      <c r="E38" s="19"/>
      <c r="F38" s="19"/>
      <c r="G38" s="19"/>
      <c r="H38" s="19"/>
      <c r="I38" s="19"/>
      <c r="J38" s="19"/>
      <c r="K38" s="19"/>
      <c r="L38" s="19"/>
      <c r="M38" s="19"/>
      <c r="N38" s="19"/>
      <c r="O38" s="19"/>
      <c r="P38" s="19"/>
      <c r="Q38" s="19"/>
      <c r="R38" s="19"/>
      <c r="S38" s="19"/>
      <c r="T38" s="19"/>
      <c r="U38" s="19"/>
      <c r="V38" s="19"/>
      <c r="W38" s="19"/>
      <c r="X38" s="162">
        <f>D38*0.5</f>
        <v>27232.52</v>
      </c>
      <c r="Y38" s="162">
        <f>D38*0.25</f>
        <v>13616.26</v>
      </c>
      <c r="Z38" s="162">
        <f>D38*0.25</f>
        <v>13616.26</v>
      </c>
      <c r="AA38" s="162"/>
      <c r="AB38" s="19"/>
      <c r="AC38" s="163">
        <f>SUM(X38:AB38)</f>
        <v>54465.04</v>
      </c>
      <c r="AD38" s="51">
        <f t="shared" si="1"/>
        <v>-0.01</v>
      </c>
    </row>
    <row r="39" spans="1:30" ht="26.25" customHeight="1">
      <c r="A39" s="615">
        <v>17</v>
      </c>
      <c r="B39" s="616" t="s">
        <v>224</v>
      </c>
      <c r="C39" s="616"/>
      <c r="D39" s="40" t="s">
        <v>643</v>
      </c>
      <c r="E39" s="19"/>
      <c r="F39" s="19"/>
      <c r="G39" s="19"/>
      <c r="H39" s="19"/>
      <c r="I39" s="19"/>
      <c r="J39" s="19"/>
      <c r="K39" s="19"/>
      <c r="L39" s="19"/>
      <c r="M39" s="19"/>
      <c r="N39" s="19"/>
      <c r="O39" s="19"/>
      <c r="P39" s="19"/>
      <c r="Q39" s="19"/>
      <c r="R39" s="19"/>
      <c r="S39" s="19"/>
      <c r="T39" s="19"/>
      <c r="U39" s="19"/>
      <c r="V39" s="19"/>
      <c r="W39" s="19"/>
      <c r="X39" s="19"/>
      <c r="Y39" s="159">
        <v>0.25</v>
      </c>
      <c r="Z39" s="159">
        <v>0.25</v>
      </c>
      <c r="AA39" s="159">
        <v>0.25</v>
      </c>
      <c r="AB39" s="159">
        <v>0.25</v>
      </c>
      <c r="AC39" s="160">
        <f>SUM(Y39:AB39)</f>
        <v>1</v>
      </c>
      <c r="AD39" s="51" t="e">
        <f t="shared" si="1"/>
        <v>#VALUE!</v>
      </c>
    </row>
    <row r="40" spans="1:30" ht="23.25" customHeight="1">
      <c r="A40" s="615"/>
      <c r="B40" s="616"/>
      <c r="C40" s="616"/>
      <c r="D40" s="161">
        <f>PLANILHA!I251</f>
        <v>531230.11</v>
      </c>
      <c r="E40" s="19"/>
      <c r="F40" s="19"/>
      <c r="G40" s="19"/>
      <c r="H40" s="19"/>
      <c r="I40" s="19"/>
      <c r="J40" s="19"/>
      <c r="K40" s="19"/>
      <c r="L40" s="19"/>
      <c r="M40" s="19"/>
      <c r="N40" s="19"/>
      <c r="O40" s="19"/>
      <c r="P40" s="19"/>
      <c r="Q40" s="19"/>
      <c r="R40" s="19"/>
      <c r="S40" s="19"/>
      <c r="T40" s="19"/>
      <c r="U40" s="19"/>
      <c r="V40" s="19"/>
      <c r="W40" s="19"/>
      <c r="X40" s="19"/>
      <c r="Y40" s="162">
        <f>D40*0.25</f>
        <v>132807.53</v>
      </c>
      <c r="Z40" s="162">
        <f>D40*0.25</f>
        <v>132807.53</v>
      </c>
      <c r="AA40" s="162">
        <f>D40*0.25</f>
        <v>132807.53</v>
      </c>
      <c r="AB40" s="162">
        <f>D40*0.25</f>
        <v>132807.53</v>
      </c>
      <c r="AC40" s="163">
        <f>SUM(Y40:AB40)</f>
        <v>531230.12</v>
      </c>
      <c r="AD40" s="51">
        <f t="shared" si="1"/>
        <v>-0.01</v>
      </c>
    </row>
    <row r="41" spans="1:30" s="6" customFormat="1" ht="26.25" customHeight="1">
      <c r="A41" s="615">
        <v>18</v>
      </c>
      <c r="B41" s="616" t="s">
        <v>867</v>
      </c>
      <c r="C41" s="616"/>
      <c r="D41" s="186" t="s">
        <v>643</v>
      </c>
      <c r="E41" s="19"/>
      <c r="F41" s="19"/>
      <c r="G41" s="19"/>
      <c r="H41" s="19"/>
      <c r="I41" s="19"/>
      <c r="J41" s="19"/>
      <c r="K41" s="19"/>
      <c r="L41" s="19"/>
      <c r="M41" s="19"/>
      <c r="N41" s="19"/>
      <c r="O41" s="19"/>
      <c r="P41" s="19"/>
      <c r="Q41" s="19"/>
      <c r="R41" s="19"/>
      <c r="S41" s="159">
        <v>0.15</v>
      </c>
      <c r="T41" s="159">
        <v>0.15</v>
      </c>
      <c r="U41" s="159">
        <v>0.1</v>
      </c>
      <c r="V41" s="159">
        <v>0.1</v>
      </c>
      <c r="W41" s="159">
        <v>0.25</v>
      </c>
      <c r="X41" s="159">
        <v>0.25</v>
      </c>
      <c r="Y41" s="159"/>
      <c r="Z41" s="159"/>
      <c r="AA41" s="159"/>
      <c r="AB41" s="159"/>
      <c r="AC41" s="160">
        <f>SUM(S41:AB41)</f>
        <v>1</v>
      </c>
      <c r="AD41" s="51" t="e">
        <f t="shared" ref="AD41:AD42" si="2">D41-AC41</f>
        <v>#VALUE!</v>
      </c>
    </row>
    <row r="42" spans="1:30" s="6" customFormat="1" ht="23.25" customHeight="1">
      <c r="A42" s="615"/>
      <c r="B42" s="616"/>
      <c r="C42" s="616"/>
      <c r="D42" s="161">
        <f>PLANILHA!I323</f>
        <v>345377.64</v>
      </c>
      <c r="E42" s="19"/>
      <c r="F42" s="19"/>
      <c r="G42" s="19"/>
      <c r="H42" s="19"/>
      <c r="I42" s="19"/>
      <c r="J42" s="19"/>
      <c r="K42" s="19"/>
      <c r="L42" s="19"/>
      <c r="M42" s="19"/>
      <c r="N42" s="19"/>
      <c r="O42" s="19"/>
      <c r="P42" s="19"/>
      <c r="Q42" s="19"/>
      <c r="R42" s="19"/>
      <c r="S42" s="162">
        <f>D42*0.15</f>
        <v>51806.65</v>
      </c>
      <c r="T42" s="162">
        <f>D42*0.15</f>
        <v>51806.65</v>
      </c>
      <c r="U42" s="162">
        <f>D42*0.1</f>
        <v>34537.760000000002</v>
      </c>
      <c r="V42" s="162">
        <f>D42*0.1</f>
        <v>34537.760000000002</v>
      </c>
      <c r="W42" s="162">
        <f>D42*0.25</f>
        <v>86344.41</v>
      </c>
      <c r="X42" s="162">
        <f>D42*0.25</f>
        <v>86344.41</v>
      </c>
      <c r="Y42" s="162"/>
      <c r="Z42" s="162"/>
      <c r="AA42" s="162"/>
      <c r="AB42" s="162"/>
      <c r="AC42" s="163">
        <f>SUM(S42:AB42)</f>
        <v>345377.64</v>
      </c>
      <c r="AD42" s="51">
        <f t="shared" si="2"/>
        <v>0</v>
      </c>
    </row>
    <row r="43" spans="1:30" s="6" customFormat="1">
      <c r="A43" s="22"/>
      <c r="B43" s="164"/>
      <c r="C43" s="164"/>
      <c r="D43" s="19"/>
      <c r="E43" s="19"/>
      <c r="F43" s="19"/>
      <c r="G43" s="19"/>
      <c r="H43" s="19"/>
      <c r="I43" s="19"/>
      <c r="J43" s="19"/>
      <c r="K43" s="19"/>
      <c r="L43" s="19"/>
      <c r="M43" s="19"/>
      <c r="N43" s="19"/>
      <c r="O43" s="19"/>
      <c r="P43" s="19"/>
      <c r="Q43" s="19"/>
      <c r="R43" s="19"/>
      <c r="S43" s="19"/>
      <c r="T43" s="19"/>
      <c r="U43" s="19"/>
      <c r="V43" s="19"/>
      <c r="W43" s="19"/>
      <c r="X43" s="19"/>
      <c r="Y43" s="162"/>
      <c r="Z43" s="162"/>
      <c r="AA43" s="162"/>
      <c r="AB43" s="162"/>
      <c r="AC43" s="163">
        <f>AC8+AC10+AC12+AC14+AC16+AC18+AC20+AC22+AC24+AC26+AC28+AC30+AC32+AC34+AC36+AC38+AC40+AC42</f>
        <v>4671608.2300000004</v>
      </c>
    </row>
    <row r="44" spans="1:30">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row>
    <row r="45" spans="1:30" ht="21">
      <c r="A45" s="625" t="s">
        <v>625</v>
      </c>
      <c r="B45" s="625"/>
      <c r="C45" s="625"/>
      <c r="D45" s="625"/>
      <c r="E45" s="163">
        <f>E8</f>
        <v>226376.28</v>
      </c>
      <c r="F45" s="163">
        <f>F8+F10+F12</f>
        <v>229386.37</v>
      </c>
      <c r="G45" s="163">
        <f>G8+G10+G14</f>
        <v>156605.82999999999</v>
      </c>
      <c r="H45" s="163">
        <f>H8+H14+H16+H18</f>
        <v>230278.39999999999</v>
      </c>
      <c r="I45" s="163">
        <f>I8+I14+I16+I18+I22</f>
        <v>287157.8</v>
      </c>
      <c r="J45" s="163">
        <f>J8+J16+J18+J22</f>
        <v>233570.13</v>
      </c>
      <c r="K45" s="163">
        <f>K8+K16+K18+K20+K22</f>
        <v>271402.08</v>
      </c>
      <c r="L45" s="163">
        <f>L8+L20+L22+L28</f>
        <v>203262.02</v>
      </c>
      <c r="M45" s="163">
        <f>M8+M28+M32+M22</f>
        <v>156570.20000000001</v>
      </c>
      <c r="N45" s="163">
        <f>N8+N24+N28+N32+N34+N36</f>
        <v>277749.99</v>
      </c>
      <c r="O45" s="163">
        <f>O8+O24+O28+O32+O34+O36</f>
        <v>277749.98</v>
      </c>
      <c r="P45" s="163">
        <f>P8+P24+P26+P32+P34+P36</f>
        <v>230655.88</v>
      </c>
      <c r="Q45" s="163">
        <f>Q8+Q24+Q26+Q32+Q34+Q36</f>
        <v>230655.88</v>
      </c>
      <c r="R45" s="163">
        <f>R8+R24+R26+R30+R32+R34+R36</f>
        <v>281935.71999999997</v>
      </c>
      <c r="S45" s="163">
        <f>S8+S30+S32+S34+S36+S42</f>
        <v>170539.72</v>
      </c>
      <c r="T45" s="163">
        <f>T8+T30+T32+T34+T36+T42</f>
        <v>170539.72</v>
      </c>
      <c r="U45" s="163">
        <f>U30+U32+U34+U36+U42</f>
        <v>123484.48</v>
      </c>
      <c r="V45" s="163">
        <f>V30+V32+V34+V36+V42</f>
        <v>123484.48</v>
      </c>
      <c r="W45" s="163">
        <f>W34+W36+W42</f>
        <v>118163.7</v>
      </c>
      <c r="X45" s="163">
        <f>X38+X42</f>
        <v>113576.93</v>
      </c>
      <c r="Y45" s="163">
        <f>Y38+Y40+Y42</f>
        <v>146423.79</v>
      </c>
      <c r="Z45" s="163">
        <f>Z38+Z40+Z42</f>
        <v>146423.79</v>
      </c>
      <c r="AA45" s="163">
        <f>AA38+AA40+AA42</f>
        <v>132807.53</v>
      </c>
      <c r="AB45" s="163">
        <f>AB40+AB42</f>
        <v>132807.53</v>
      </c>
      <c r="AC45" s="19"/>
    </row>
    <row r="46" spans="1:30" ht="21">
      <c r="A46" s="625" t="s">
        <v>626</v>
      </c>
      <c r="B46" s="625"/>
      <c r="C46" s="625"/>
      <c r="D46" s="625"/>
      <c r="E46" s="19"/>
      <c r="F46" s="163">
        <f>E45+F45</f>
        <v>455762.65</v>
      </c>
      <c r="G46" s="163">
        <f t="shared" ref="G46:AB46" si="3">F46+G45</f>
        <v>612368.48</v>
      </c>
      <c r="H46" s="163">
        <f t="shared" si="3"/>
        <v>842646.88</v>
      </c>
      <c r="I46" s="163">
        <f t="shared" si="3"/>
        <v>1129804.68</v>
      </c>
      <c r="J46" s="163">
        <f t="shared" si="3"/>
        <v>1363374.81</v>
      </c>
      <c r="K46" s="163">
        <f t="shared" si="3"/>
        <v>1634776.89</v>
      </c>
      <c r="L46" s="163">
        <f t="shared" si="3"/>
        <v>1838038.91</v>
      </c>
      <c r="M46" s="163">
        <f t="shared" si="3"/>
        <v>1994609.11</v>
      </c>
      <c r="N46" s="163">
        <f t="shared" si="3"/>
        <v>2272359.1</v>
      </c>
      <c r="O46" s="163">
        <f t="shared" si="3"/>
        <v>2550109.08</v>
      </c>
      <c r="P46" s="163">
        <f t="shared" si="3"/>
        <v>2780764.96</v>
      </c>
      <c r="Q46" s="163">
        <f t="shared" si="3"/>
        <v>3011420.84</v>
      </c>
      <c r="R46" s="163">
        <f t="shared" si="3"/>
        <v>3293356.56</v>
      </c>
      <c r="S46" s="163">
        <f t="shared" si="3"/>
        <v>3463896.28</v>
      </c>
      <c r="T46" s="163">
        <f t="shared" si="3"/>
        <v>3634436</v>
      </c>
      <c r="U46" s="163">
        <f t="shared" si="3"/>
        <v>3757920.48</v>
      </c>
      <c r="V46" s="163">
        <f t="shared" si="3"/>
        <v>3881404.96</v>
      </c>
      <c r="W46" s="163">
        <f t="shared" si="3"/>
        <v>3999568.66</v>
      </c>
      <c r="X46" s="163">
        <f t="shared" si="3"/>
        <v>4113145.59</v>
      </c>
      <c r="Y46" s="163">
        <f t="shared" si="3"/>
        <v>4259569.38</v>
      </c>
      <c r="Z46" s="163">
        <f t="shared" si="3"/>
        <v>4405993.17</v>
      </c>
      <c r="AA46" s="163">
        <f t="shared" si="3"/>
        <v>4538800.7</v>
      </c>
      <c r="AB46" s="163">
        <f>AA46+AB45-0.09</f>
        <v>4671608.1399999997</v>
      </c>
      <c r="AC46" s="163">
        <f>AB46</f>
        <v>4671608.1399999997</v>
      </c>
    </row>
    <row r="50" spans="1:29" ht="360.75" customHeight="1">
      <c r="A50" s="623" t="s">
        <v>1184</v>
      </c>
      <c r="B50" s="623"/>
      <c r="C50" s="623"/>
      <c r="D50" s="623"/>
      <c r="E50" s="623"/>
      <c r="F50" s="623"/>
      <c r="G50" s="623"/>
      <c r="H50" s="623"/>
      <c r="I50" s="623"/>
      <c r="J50" s="623"/>
      <c r="K50" s="623"/>
      <c r="L50" s="623"/>
      <c r="M50" s="623"/>
      <c r="N50" s="623"/>
      <c r="O50" s="623"/>
      <c r="P50" s="623"/>
      <c r="Q50" s="623"/>
      <c r="R50" s="623"/>
      <c r="S50" s="623"/>
      <c r="T50" s="623"/>
      <c r="U50" s="623"/>
      <c r="V50" s="623"/>
      <c r="W50" s="623"/>
      <c r="X50" s="623"/>
      <c r="Y50" s="623"/>
      <c r="Z50" s="623"/>
      <c r="AA50" s="623"/>
      <c r="AB50" s="623"/>
      <c r="AC50" s="623"/>
    </row>
    <row r="51" spans="1:29">
      <c r="N51" s="133"/>
    </row>
  </sheetData>
  <mergeCells count="46">
    <mergeCell ref="A1:AC1"/>
    <mergeCell ref="A50:AC50"/>
    <mergeCell ref="B37:C38"/>
    <mergeCell ref="B39:C40"/>
    <mergeCell ref="AC5:AC6"/>
    <mergeCell ref="E5:AB5"/>
    <mergeCell ref="A45:D45"/>
    <mergeCell ref="A46:D46"/>
    <mergeCell ref="A33:A34"/>
    <mergeCell ref="A35:A36"/>
    <mergeCell ref="A37:A38"/>
    <mergeCell ref="A39:A40"/>
    <mergeCell ref="B25:C26"/>
    <mergeCell ref="B27:C28"/>
    <mergeCell ref="B29:C30"/>
    <mergeCell ref="B31:C32"/>
    <mergeCell ref="A2:AC2"/>
    <mergeCell ref="A19:A20"/>
    <mergeCell ref="B17:C18"/>
    <mergeCell ref="B19:C20"/>
    <mergeCell ref="A7:A8"/>
    <mergeCell ref="A9:A10"/>
    <mergeCell ref="A11:A12"/>
    <mergeCell ref="A13:A14"/>
    <mergeCell ref="A15:A16"/>
    <mergeCell ref="A17:A18"/>
    <mergeCell ref="B7:C8"/>
    <mergeCell ref="B9:C10"/>
    <mergeCell ref="B11:C12"/>
    <mergeCell ref="B13:C14"/>
    <mergeCell ref="B15:C16"/>
    <mergeCell ref="A41:A42"/>
    <mergeCell ref="B41:C42"/>
    <mergeCell ref="A5:A6"/>
    <mergeCell ref="B5:C6"/>
    <mergeCell ref="D5:D6"/>
    <mergeCell ref="B33:C34"/>
    <mergeCell ref="B35:C36"/>
    <mergeCell ref="B21:C22"/>
    <mergeCell ref="B23:C24"/>
    <mergeCell ref="A25:A26"/>
    <mergeCell ref="A27:A28"/>
    <mergeCell ref="A29:A30"/>
    <mergeCell ref="A31:A32"/>
    <mergeCell ref="A21:A22"/>
    <mergeCell ref="A23:A24"/>
  </mergeCells>
  <printOptions horizontalCentered="1" verticalCentered="1"/>
  <pageMargins left="0.23622047244094491" right="0.23622047244094491" top="0.74803149606299213" bottom="0.74803149606299213" header="0.31496062992125984" footer="0.31496062992125984"/>
  <pageSetup paperSize="9" scale="2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16</vt:i4>
      </vt:variant>
      <vt:variant>
        <vt:lpstr>Intervalos Nomeados</vt:lpstr>
      </vt:variant>
      <vt:variant>
        <vt:i4>6</vt:i4>
      </vt:variant>
    </vt:vector>
  </HeadingPairs>
  <TitlesOfParts>
    <vt:vector size="22" baseType="lpstr">
      <vt:lpstr>PLANILHA</vt:lpstr>
      <vt:lpstr>BDI</vt:lpstr>
      <vt:lpstr>MEMÓRIA DE CALCULO</vt:lpstr>
      <vt:lpstr>MEMÓRIA CÁLC. FONTE</vt:lpstr>
      <vt:lpstr>COMP-01</vt:lpstr>
      <vt:lpstr>COMP-02</vt:lpstr>
      <vt:lpstr>COMP-03</vt:lpstr>
      <vt:lpstr>COMP-04</vt:lpstr>
      <vt:lpstr>COMP-05</vt:lpstr>
      <vt:lpstr>COMP-06</vt:lpstr>
      <vt:lpstr>COMP-07</vt:lpstr>
      <vt:lpstr>COMP-08</vt:lpstr>
      <vt:lpstr>COMP-09</vt:lpstr>
      <vt:lpstr>COMP-10</vt:lpstr>
      <vt:lpstr>COMP-11</vt:lpstr>
      <vt:lpstr>CRONOGRAMA</vt:lpstr>
      <vt:lpstr>'COMP-03'!Area_de_impressao</vt:lpstr>
      <vt:lpstr>CRONOGRAMA!Area_de_impressao</vt:lpstr>
      <vt:lpstr>'MEMÓRIA CÁLC. FONTE'!Area_de_impressao</vt:lpstr>
      <vt:lpstr>'MEMÓRIA DE CALCULO'!Area_de_impressao</vt:lpstr>
      <vt:lpstr>PLANILHA!Area_de_impressao</vt:lpstr>
      <vt:lpstr>PLANILHA!Titulos_de_impressao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Douglas</dc:creator>
  <cp:lastModifiedBy>User</cp:lastModifiedBy>
  <cp:lastPrinted>2025-07-22T10:34:45Z</cp:lastPrinted>
  <dcterms:created xsi:type="dcterms:W3CDTF">2015-11-03T09:29:48Z</dcterms:created>
  <dcterms:modified xsi:type="dcterms:W3CDTF">2025-07-22T10:39:47Z</dcterms:modified>
</cp:coreProperties>
</file>